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nstitutzavodejjs-my.sharepoint.com/personal/zoran_jakic_institutjjs_hr/Documents/Documents/Zoran_2024/Financijski_plan_2025_2027/"/>
    </mc:Choice>
  </mc:AlternateContent>
  <xr:revisionPtr revIDLastSave="1955" documentId="13_ncr:1_{1FFC16A2-2C4B-46C7-B3F6-96DC1C28C6E5}" xr6:coauthVersionLast="47" xr6:coauthVersionMax="47" xr10:uidLastSave="{290A2281-5805-442F-BB69-1B34CA183B86}"/>
  <bookViews>
    <workbookView xWindow="-109" yWindow="-109" windowWidth="26301" windowHeight="14169" tabRatio="801" activeTab="1" xr2:uid="{00000000-000D-0000-FFFF-FFFF00000000}"/>
  </bookViews>
  <sheets>
    <sheet name="Sažetak" sheetId="1" r:id="rId1"/>
    <sheet name=" Račun prihoda i rashoda-ekonom" sheetId="3" r:id="rId2"/>
    <sheet name=" Račun prihoda i rashoda-izvori" sheetId="9" r:id="rId3"/>
    <sheet name=" Račun rashoda-funkcija" sheetId="10" r:id="rId4"/>
    <sheet name=" Račun financiranja-ekonomska" sheetId="11" r:id="rId5"/>
    <sheet name=" Račun financiranja-izvori" sheetId="12" r:id="rId6"/>
    <sheet name="Posebni dio" sheetId="7" r:id="rId7"/>
  </sheets>
  <definedNames>
    <definedName name="_xlnm.Print_Area" localSheetId="4">' Račun financiranja-ekonomska'!$A$1:$H$15</definedName>
    <definedName name="_xlnm.Print_Area" localSheetId="5">' Račun financiranja-izvori'!$A$1:$F$11</definedName>
    <definedName name="_xlnm.Print_Area" localSheetId="1">' Račun prihoda i rashoda-ekonom'!$A$1:$H$66</definedName>
    <definedName name="_xlnm.Print_Area" localSheetId="2">' Račun prihoda i rashoda-izvori'!$A$1:$F$12</definedName>
    <definedName name="_xlnm.Print_Area" localSheetId="3">' Račun rashoda-funkcija'!$A$1:$F$8</definedName>
    <definedName name="_xlnm.Print_Area" localSheetId="6">'Posebni dio'!$A$2:$G$14</definedName>
    <definedName name="_xlnm.Print_Area" localSheetId="0">Sažetak!$A$1:$J$28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6" i="3" l="1"/>
  <c r="I66" i="3"/>
  <c r="J47" i="3"/>
  <c r="I47" i="3"/>
  <c r="I44" i="3"/>
  <c r="I51" i="3"/>
  <c r="I30" i="3"/>
  <c r="F15" i="3"/>
  <c r="J21" i="3"/>
  <c r="G32" i="3"/>
  <c r="G39" i="3"/>
  <c r="G29" i="3"/>
  <c r="G23" i="3"/>
  <c r="G44" i="3"/>
  <c r="I21" i="3"/>
  <c r="H43" i="3"/>
  <c r="H45" i="3"/>
  <c r="H25" i="3"/>
  <c r="H24" i="3"/>
  <c r="G54" i="3"/>
  <c r="G48" i="3"/>
  <c r="G46" i="3"/>
  <c r="G45" i="3"/>
  <c r="G25" i="3"/>
  <c r="H33" i="3"/>
  <c r="H41" i="3"/>
  <c r="H44" i="3"/>
  <c r="H58" i="3"/>
  <c r="H27" i="3"/>
  <c r="G24" i="3"/>
  <c r="G47" i="3"/>
  <c r="G33" i="3"/>
  <c r="F54" i="3"/>
  <c r="F70" i="3"/>
  <c r="F47" i="3"/>
  <c r="F50" i="3"/>
  <c r="F44" i="3"/>
  <c r="F48" i="3"/>
  <c r="F69" i="3"/>
  <c r="F68" i="3"/>
  <c r="F58" i="3"/>
  <c r="F46" i="3"/>
  <c r="F56" i="3"/>
  <c r="F45" i="3"/>
  <c r="F43" i="3"/>
  <c r="F36" i="3"/>
  <c r="G71" i="3"/>
  <c r="G70" i="3"/>
  <c r="G27" i="3"/>
  <c r="G72" i="3"/>
  <c r="G69" i="3"/>
  <c r="G68" i="3"/>
  <c r="G58" i="3"/>
  <c r="G57" i="3"/>
  <c r="G56" i="3"/>
  <c r="G55" i="3"/>
  <c r="G53" i="3"/>
  <c r="G50" i="3"/>
  <c r="G49" i="3"/>
  <c r="G43" i="3"/>
  <c r="G41" i="3"/>
  <c r="G40" i="3"/>
  <c r="G38" i="3"/>
  <c r="G37" i="3"/>
  <c r="G36" i="3"/>
  <c r="G34" i="3"/>
  <c r="H72" i="3"/>
  <c r="H71" i="3"/>
  <c r="H69" i="3"/>
  <c r="H57" i="3"/>
  <c r="H48" i="3"/>
  <c r="H68" i="3"/>
  <c r="H70" i="3"/>
  <c r="H56" i="3"/>
  <c r="H55" i="3"/>
  <c r="H54" i="3"/>
  <c r="H53" i="3"/>
  <c r="H50" i="3"/>
  <c r="H49" i="3"/>
  <c r="H47" i="3"/>
  <c r="H46" i="3"/>
  <c r="H40" i="3"/>
  <c r="H39" i="3"/>
  <c r="H38" i="3"/>
  <c r="H37" i="3"/>
  <c r="H35" i="3" s="1"/>
  <c r="H36" i="3"/>
  <c r="H34" i="3"/>
  <c r="H32" i="3"/>
  <c r="H23" i="3"/>
  <c r="F71" i="3"/>
  <c r="G37" i="7" l="1"/>
  <c r="F37" i="7"/>
  <c r="F42" i="3"/>
  <c r="G69" i="7"/>
  <c r="G68" i="7" s="1"/>
  <c r="G41" i="7"/>
  <c r="D69" i="7"/>
  <c r="D68" i="7" s="1"/>
  <c r="D67" i="7"/>
  <c r="D66" i="7" s="1"/>
  <c r="D62" i="7"/>
  <c r="D63" i="7"/>
  <c r="D64" i="7"/>
  <c r="D65" i="7"/>
  <c r="D61" i="7"/>
  <c r="D58" i="7"/>
  <c r="D57" i="7" s="1"/>
  <c r="D56" i="7" s="1"/>
  <c r="D54" i="7"/>
  <c r="D53" i="7" s="1"/>
  <c r="D52" i="7" s="1"/>
  <c r="D47" i="7"/>
  <c r="D48" i="7"/>
  <c r="D49" i="7"/>
  <c r="D50" i="7"/>
  <c r="D51" i="7"/>
  <c r="D46" i="7"/>
  <c r="D37" i="7"/>
  <c r="D38" i="7"/>
  <c r="D39" i="7"/>
  <c r="D40" i="7"/>
  <c r="D41" i="7"/>
  <c r="D42" i="7"/>
  <c r="D43" i="7"/>
  <c r="D44" i="7"/>
  <c r="D36" i="7"/>
  <c r="D30" i="7"/>
  <c r="D31" i="7"/>
  <c r="D32" i="7"/>
  <c r="D33" i="7"/>
  <c r="D34" i="7"/>
  <c r="D29" i="7"/>
  <c r="D26" i="7"/>
  <c r="D27" i="7"/>
  <c r="D25" i="7"/>
  <c r="D22" i="7"/>
  <c r="D21" i="7" s="1"/>
  <c r="D20" i="7"/>
  <c r="D19" i="7" s="1"/>
  <c r="D17" i="7"/>
  <c r="D18" i="7"/>
  <c r="D16" i="7"/>
  <c r="E60" i="3"/>
  <c r="E59" i="3" s="1"/>
  <c r="F69" i="7"/>
  <c r="F68" i="7" s="1"/>
  <c r="E69" i="7"/>
  <c r="E68" i="7" s="1"/>
  <c r="F67" i="7"/>
  <c r="F66" i="7" s="1"/>
  <c r="G67" i="7"/>
  <c r="G66" i="7" s="1"/>
  <c r="E67" i="7"/>
  <c r="E66" i="7" s="1"/>
  <c r="F61" i="7"/>
  <c r="G61" i="7"/>
  <c r="F62" i="7"/>
  <c r="G62" i="7"/>
  <c r="F63" i="7"/>
  <c r="G63" i="7"/>
  <c r="F64" i="7"/>
  <c r="G64" i="7"/>
  <c r="F65" i="7"/>
  <c r="G65" i="7"/>
  <c r="E62" i="7"/>
  <c r="E63" i="7"/>
  <c r="E64" i="7"/>
  <c r="E65" i="7"/>
  <c r="E61" i="7"/>
  <c r="F58" i="7"/>
  <c r="F57" i="7" s="1"/>
  <c r="F56" i="7" s="1"/>
  <c r="G58" i="7"/>
  <c r="G57" i="7" s="1"/>
  <c r="G56" i="7" s="1"/>
  <c r="E58" i="7"/>
  <c r="E57" i="7" s="1"/>
  <c r="E56" i="7" s="1"/>
  <c r="F54" i="7"/>
  <c r="F53" i="7" s="1"/>
  <c r="F52" i="7" s="1"/>
  <c r="G54" i="7"/>
  <c r="G53" i="7" s="1"/>
  <c r="G52" i="7" s="1"/>
  <c r="E54" i="7"/>
  <c r="E53" i="7" s="1"/>
  <c r="E52" i="7" s="1"/>
  <c r="F46" i="7"/>
  <c r="G46" i="7"/>
  <c r="F47" i="7"/>
  <c r="G47" i="7"/>
  <c r="F48" i="7"/>
  <c r="G48" i="7"/>
  <c r="F49" i="7"/>
  <c r="G49" i="7"/>
  <c r="F50" i="7"/>
  <c r="G50" i="7"/>
  <c r="F51" i="7"/>
  <c r="G51" i="7"/>
  <c r="E47" i="7"/>
  <c r="E48" i="7"/>
  <c r="E49" i="7"/>
  <c r="E50" i="7"/>
  <c r="E51" i="7"/>
  <c r="E46" i="7"/>
  <c r="F36" i="7"/>
  <c r="G36" i="7"/>
  <c r="F38" i="7"/>
  <c r="G38" i="7"/>
  <c r="F39" i="7"/>
  <c r="G39" i="7"/>
  <c r="F40" i="7"/>
  <c r="G40" i="7"/>
  <c r="F41" i="7"/>
  <c r="F42" i="7"/>
  <c r="G42" i="7"/>
  <c r="F43" i="7"/>
  <c r="G43" i="7"/>
  <c r="F44" i="7"/>
  <c r="G44" i="7"/>
  <c r="E38" i="7"/>
  <c r="E39" i="7"/>
  <c r="E40" i="7"/>
  <c r="E41" i="7"/>
  <c r="E42" i="7"/>
  <c r="E43" i="7"/>
  <c r="E44" i="7"/>
  <c r="E36" i="7"/>
  <c r="F29" i="7"/>
  <c r="G29" i="7"/>
  <c r="F30" i="7"/>
  <c r="G30" i="7"/>
  <c r="F31" i="7"/>
  <c r="G31" i="7"/>
  <c r="F32" i="7"/>
  <c r="G32" i="7"/>
  <c r="F33" i="7"/>
  <c r="G33" i="7"/>
  <c r="F34" i="7"/>
  <c r="G34" i="7"/>
  <c r="E30" i="7"/>
  <c r="E31" i="7"/>
  <c r="E32" i="7"/>
  <c r="E33" i="7"/>
  <c r="E34" i="7"/>
  <c r="E29" i="7"/>
  <c r="F25" i="7"/>
  <c r="G25" i="7"/>
  <c r="F26" i="7"/>
  <c r="G26" i="7"/>
  <c r="F27" i="7"/>
  <c r="G27" i="7"/>
  <c r="E26" i="7"/>
  <c r="E27" i="7"/>
  <c r="E25" i="7"/>
  <c r="F20" i="7"/>
  <c r="F19" i="7" s="1"/>
  <c r="G20" i="7"/>
  <c r="G19" i="7" s="1"/>
  <c r="E20" i="7"/>
  <c r="E19" i="7" s="1"/>
  <c r="F16" i="7"/>
  <c r="G16" i="7"/>
  <c r="F17" i="7"/>
  <c r="G17" i="7"/>
  <c r="F18" i="7"/>
  <c r="G18" i="7"/>
  <c r="E17" i="7"/>
  <c r="E18" i="7"/>
  <c r="E16" i="7"/>
  <c r="C68" i="7"/>
  <c r="C59" i="7" s="1"/>
  <c r="C55" i="7" s="1"/>
  <c r="C66" i="7"/>
  <c r="C60" i="7"/>
  <c r="C53" i="7"/>
  <c r="C52" i="7" s="1"/>
  <c r="C57" i="7"/>
  <c r="C56" i="7" s="1"/>
  <c r="C45" i="7"/>
  <c r="C35" i="7"/>
  <c r="C28" i="7"/>
  <c r="C24" i="7"/>
  <c r="C21" i="7"/>
  <c r="C19" i="7"/>
  <c r="C15" i="7"/>
  <c r="E52" i="3"/>
  <c r="F52" i="3"/>
  <c r="G52" i="3"/>
  <c r="H52" i="3"/>
  <c r="D52" i="3"/>
  <c r="E42" i="3"/>
  <c r="D42" i="3"/>
  <c r="E35" i="3"/>
  <c r="F35" i="3"/>
  <c r="G35" i="3"/>
  <c r="D35" i="3"/>
  <c r="E31" i="3"/>
  <c r="F31" i="3"/>
  <c r="G31" i="3"/>
  <c r="H31" i="3"/>
  <c r="D31" i="3"/>
  <c r="F60" i="3"/>
  <c r="F59" i="3" s="1"/>
  <c r="G60" i="3"/>
  <c r="G59" i="3" s="1"/>
  <c r="H60" i="3"/>
  <c r="H59" i="3" s="1"/>
  <c r="D60" i="3"/>
  <c r="D59" i="3" s="1"/>
  <c r="E67" i="3"/>
  <c r="F67" i="3"/>
  <c r="G67" i="3"/>
  <c r="H67" i="3"/>
  <c r="E73" i="3"/>
  <c r="F73" i="3"/>
  <c r="G73" i="3"/>
  <c r="H73" i="3"/>
  <c r="E75" i="3"/>
  <c r="F75" i="3"/>
  <c r="G75" i="3"/>
  <c r="H75" i="3"/>
  <c r="D67" i="3"/>
  <c r="D73" i="3"/>
  <c r="D75" i="3"/>
  <c r="E64" i="3"/>
  <c r="E63" i="3" s="1"/>
  <c r="F64" i="3"/>
  <c r="F63" i="3" s="1"/>
  <c r="G64" i="3"/>
  <c r="G63" i="3" s="1"/>
  <c r="H64" i="3"/>
  <c r="H63" i="3" s="1"/>
  <c r="D64" i="3"/>
  <c r="D63" i="3" s="1"/>
  <c r="E22" i="3"/>
  <c r="F22" i="3"/>
  <c r="G22" i="3"/>
  <c r="H22" i="3"/>
  <c r="G22" i="7" s="1"/>
  <c r="G21" i="7" s="1"/>
  <c r="E26" i="3"/>
  <c r="F26" i="3"/>
  <c r="G26" i="3"/>
  <c r="H26" i="3"/>
  <c r="E28" i="3"/>
  <c r="D22" i="3"/>
  <c r="D26" i="3"/>
  <c r="D28" i="3"/>
  <c r="F26" i="1"/>
  <c r="E13" i="3"/>
  <c r="E12" i="3" s="1"/>
  <c r="E11" i="3" s="1"/>
  <c r="E10" i="3" s="1"/>
  <c r="C8" i="9" s="1"/>
  <c r="C7" i="9" s="1"/>
  <c r="C6" i="9" s="1"/>
  <c r="D13" i="3"/>
  <c r="D12" i="3" s="1"/>
  <c r="G26" i="1"/>
  <c r="H26" i="1"/>
  <c r="F22" i="7" l="1"/>
  <c r="F21" i="7" s="1"/>
  <c r="F29" i="3"/>
  <c r="G42" i="3"/>
  <c r="G30" i="3" s="1"/>
  <c r="E37" i="7"/>
  <c r="E35" i="7" s="1"/>
  <c r="H28" i="3"/>
  <c r="H21" i="3" s="1"/>
  <c r="G28" i="3"/>
  <c r="G21" i="3" s="1"/>
  <c r="D24" i="7"/>
  <c r="D28" i="7"/>
  <c r="D15" i="7"/>
  <c r="D14" i="7" s="1"/>
  <c r="D60" i="7"/>
  <c r="D59" i="7" s="1"/>
  <c r="D55" i="7" s="1"/>
  <c r="H42" i="3"/>
  <c r="H30" i="3" s="1"/>
  <c r="D45" i="7"/>
  <c r="D35" i="7"/>
  <c r="G24" i="7"/>
  <c r="G15" i="7"/>
  <c r="G14" i="7" s="1"/>
  <c r="G60" i="7"/>
  <c r="G59" i="7" s="1"/>
  <c r="G55" i="7" s="1"/>
  <c r="G28" i="7"/>
  <c r="G35" i="7"/>
  <c r="E24" i="7"/>
  <c r="G45" i="7"/>
  <c r="F35" i="7"/>
  <c r="E45" i="7"/>
  <c r="F45" i="7"/>
  <c r="E60" i="7"/>
  <c r="E59" i="7" s="1"/>
  <c r="E55" i="7" s="1"/>
  <c r="F60" i="7"/>
  <c r="F59" i="7" s="1"/>
  <c r="F55" i="7" s="1"/>
  <c r="F28" i="7"/>
  <c r="E28" i="7"/>
  <c r="F30" i="3"/>
  <c r="F24" i="7"/>
  <c r="E15" i="7"/>
  <c r="F15" i="7"/>
  <c r="C14" i="7"/>
  <c r="C23" i="7"/>
  <c r="E30" i="3"/>
  <c r="D30" i="3"/>
  <c r="G66" i="3"/>
  <c r="G62" i="3" s="1"/>
  <c r="F66" i="3"/>
  <c r="H66" i="3"/>
  <c r="H62" i="3" s="1"/>
  <c r="E66" i="3"/>
  <c r="E62" i="3" s="1"/>
  <c r="G13" i="1" s="1"/>
  <c r="D66" i="3"/>
  <c r="D62" i="3" s="1"/>
  <c r="F13" i="1" s="1"/>
  <c r="E21" i="3"/>
  <c r="D21" i="3"/>
  <c r="D11" i="3"/>
  <c r="D10" i="3" s="1"/>
  <c r="I26" i="1"/>
  <c r="J26" i="1"/>
  <c r="G23" i="1"/>
  <c r="H23" i="1"/>
  <c r="I23" i="1"/>
  <c r="J23" i="1"/>
  <c r="G9" i="1"/>
  <c r="G11" i="1" s="1"/>
  <c r="F62" i="3" l="1"/>
  <c r="F14" i="7"/>
  <c r="D23" i="7"/>
  <c r="D13" i="7" s="1"/>
  <c r="D12" i="7" s="1"/>
  <c r="D11" i="7" s="1"/>
  <c r="D10" i="7" s="1"/>
  <c r="D9" i="7" s="1"/>
  <c r="D8" i="7" s="1"/>
  <c r="D7" i="7" s="1"/>
  <c r="D6" i="7" s="1"/>
  <c r="B8" i="9"/>
  <c r="B7" i="9" s="1"/>
  <c r="B6" i="9" s="1"/>
  <c r="F28" i="3"/>
  <c r="E22" i="7"/>
  <c r="E21" i="7" s="1"/>
  <c r="E14" i="7"/>
  <c r="J13" i="1"/>
  <c r="H15" i="3"/>
  <c r="I13" i="1"/>
  <c r="G15" i="3"/>
  <c r="H13" i="1"/>
  <c r="E20" i="3"/>
  <c r="G12" i="1" s="1"/>
  <c r="G14" i="1" s="1"/>
  <c r="G15" i="1" s="1"/>
  <c r="G27" i="1" s="1"/>
  <c r="G23" i="7"/>
  <c r="G13" i="7" s="1"/>
  <c r="G12" i="7" s="1"/>
  <c r="G11" i="7" s="1"/>
  <c r="G10" i="7" s="1"/>
  <c r="G9" i="7" s="1"/>
  <c r="G8" i="7" s="1"/>
  <c r="G7" i="7" s="1"/>
  <c r="G6" i="7" s="1"/>
  <c r="H20" i="3"/>
  <c r="E23" i="7"/>
  <c r="E13" i="7" s="1"/>
  <c r="E12" i="7" s="1"/>
  <c r="E11" i="7" s="1"/>
  <c r="E10" i="7" s="1"/>
  <c r="E9" i="7" s="1"/>
  <c r="E8" i="7" s="1"/>
  <c r="E7" i="7" s="1"/>
  <c r="E6" i="7" s="1"/>
  <c r="F23" i="7"/>
  <c r="G20" i="3"/>
  <c r="C13" i="7"/>
  <c r="C12" i="7" s="1"/>
  <c r="C11" i="7" s="1"/>
  <c r="C10" i="7" s="1"/>
  <c r="C9" i="7" s="1"/>
  <c r="C8" i="7" s="1"/>
  <c r="C7" i="7" s="1"/>
  <c r="C6" i="7" s="1"/>
  <c r="D20" i="3"/>
  <c r="D19" i="3" s="1"/>
  <c r="D79" i="3" s="1"/>
  <c r="F9" i="1"/>
  <c r="F11" i="1" s="1"/>
  <c r="F13" i="7" l="1"/>
  <c r="F12" i="7" s="1"/>
  <c r="F11" i="7" s="1"/>
  <c r="F10" i="7" s="1"/>
  <c r="F9" i="7" s="1"/>
  <c r="F8" i="7" s="1"/>
  <c r="F7" i="7" s="1"/>
  <c r="F6" i="7" s="1"/>
  <c r="F21" i="3"/>
  <c r="F12" i="1"/>
  <c r="F14" i="1" s="1"/>
  <c r="F15" i="1" s="1"/>
  <c r="F27" i="1" s="1"/>
  <c r="I12" i="1"/>
  <c r="I14" i="1" s="1"/>
  <c r="G14" i="3"/>
  <c r="G13" i="3" s="1"/>
  <c r="G12" i="3" s="1"/>
  <c r="G11" i="3" s="1"/>
  <c r="J12" i="1"/>
  <c r="J14" i="1" s="1"/>
  <c r="H14" i="3"/>
  <c r="H13" i="3" s="1"/>
  <c r="H12" i="3" s="1"/>
  <c r="H11" i="3" s="1"/>
  <c r="H19" i="3"/>
  <c r="F13" i="3"/>
  <c r="F12" i="3" s="1"/>
  <c r="F11" i="3" s="1"/>
  <c r="E19" i="3"/>
  <c r="B8" i="10"/>
  <c r="B7" i="10" s="1"/>
  <c r="B6" i="10" s="1"/>
  <c r="B12" i="9"/>
  <c r="B11" i="9" s="1"/>
  <c r="B10" i="9" s="1"/>
  <c r="G19" i="3"/>
  <c r="F20" i="3" l="1"/>
  <c r="F12" i="9"/>
  <c r="F11" i="9" s="1"/>
  <c r="F10" i="9" s="1"/>
  <c r="E8" i="10"/>
  <c r="E7" i="10" s="1"/>
  <c r="E6" i="10" s="1"/>
  <c r="C8" i="10"/>
  <c r="C7" i="10" s="1"/>
  <c r="C6" i="10" s="1"/>
  <c r="E79" i="3"/>
  <c r="F8" i="10"/>
  <c r="F7" i="10" s="1"/>
  <c r="F6" i="10" s="1"/>
  <c r="G10" i="3"/>
  <c r="I9" i="1"/>
  <c r="I11" i="1" s="1"/>
  <c r="I15" i="1" s="1"/>
  <c r="I27" i="1" s="1"/>
  <c r="J9" i="1"/>
  <c r="J11" i="1" s="1"/>
  <c r="J15" i="1" s="1"/>
  <c r="J27" i="1" s="1"/>
  <c r="H10" i="3"/>
  <c r="F10" i="3"/>
  <c r="H9" i="1"/>
  <c r="H11" i="1" s="1"/>
  <c r="C12" i="9"/>
  <c r="C11" i="9" s="1"/>
  <c r="C10" i="9" s="1"/>
  <c r="E12" i="9"/>
  <c r="E11" i="9" s="1"/>
  <c r="E10" i="9" s="1"/>
  <c r="F19" i="3" l="1"/>
  <c r="F79" i="3" s="1"/>
  <c r="H12" i="1"/>
  <c r="H14" i="1" s="1"/>
  <c r="H15" i="1" s="1"/>
  <c r="H27" i="1" s="1"/>
  <c r="F8" i="9"/>
  <c r="F7" i="9" s="1"/>
  <c r="F6" i="9" s="1"/>
  <c r="H79" i="3"/>
  <c r="G79" i="3"/>
  <c r="E8" i="9"/>
  <c r="E7" i="9" s="1"/>
  <c r="E6" i="9" s="1"/>
  <c r="D8" i="9"/>
  <c r="D7" i="9" s="1"/>
  <c r="D6" i="9" s="1"/>
  <c r="D12" i="9" l="1"/>
  <c r="D11" i="9" s="1"/>
  <c r="D10" i="9" s="1"/>
  <c r="D8" i="10"/>
  <c r="D7" i="10" s="1"/>
  <c r="D6" i="10" s="1"/>
</calcChain>
</file>

<file path=xl/sharedStrings.xml><?xml version="1.0" encoding="utf-8"?>
<sst xmlns="http://schemas.openxmlformats.org/spreadsheetml/2006/main" count="263" uniqueCount="132">
  <si>
    <t>PRIHODI UKUPNO</t>
  </si>
  <si>
    <t>RASHODI UKUPNO</t>
  </si>
  <si>
    <t>RAZLIKA - VIŠAK / MANJAK</t>
  </si>
  <si>
    <t>NETO FINANCIRANJE</t>
  </si>
  <si>
    <t>VIŠAK / MANJAK + NETO FINANCIRANJE</t>
  </si>
  <si>
    <t xml:space="preserve">A. RAČUN PRIHODA I RASHODA 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</si>
  <si>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</si>
  <si>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</si>
  <si>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</si>
  <si>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</si>
  <si>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</si>
  <si>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</si>
  <si>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</si>
  <si>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</si>
  <si>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</si>
  <si>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</si>
  <si>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</si>
  <si>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</si>
  <si>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</si>
  <si>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</si>
  <si>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</si>
  <si>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…</t>
  </si>
  <si>
    <t>PRIJENOS SREDSTAVA IZ PRETHODNE GODINE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</si>
  <si>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</si>
  <si>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</si>
  <si>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</si>
  <si>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</si>
  <si>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</si>
  <si>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</si>
  <si>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</si>
  <si>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</si>
  <si>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>A. SAŽETAK RAČUNA PRIHODA I RASHODA</t>
  </si>
  <si>
    <t>B. SAŽETAK RAČUNA FINANCIRANJA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</si>
  <si>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</si>
  <si>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</si>
  <si>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</si>
  <si>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</si>
  <si>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</si>
  <si>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</si>
  <si>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</si>
  <si>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>PRIJENOS SREDSTAVA U SLJEDEĆE RAZDOBLJE</t>
  </si>
  <si>
    <t>PROJEKCIJA 
ZA 2026.</t>
  </si>
  <si>
    <t>A1. PRIHODI I RASHODI PREMA EKONOMSKOJ KLASIFIKACIJI</t>
  </si>
  <si>
    <t>A2. PRIHODI I RASHODI PREMA IZVORIMA FINANCIRANJA</t>
  </si>
  <si>
    <t>UKUPNO PRIHODI</t>
  </si>
  <si>
    <t>UKUPNO RASHODI</t>
  </si>
  <si>
    <t>A3. RASHODI PREMA FUNKCIJSKOJ KLASIFIKACIJI</t>
  </si>
  <si>
    <t>B1. RAČUN FINANCIRANJA PREMA EKONOMSKOJ KLASIFIKACIJI</t>
  </si>
  <si>
    <t>B2. RAČUN FINANCIRANJA PREMA IZVORIMA FINANCIRANJA</t>
  </si>
  <si>
    <t>UKUPNO PRIMICI</t>
  </si>
  <si>
    <t xml:space="preserve">UKUPNO IZDACI </t>
  </si>
  <si>
    <t>07780</t>
  </si>
  <si>
    <t>Institut za vode »Josip Juraj Strossmayer«</t>
  </si>
  <si>
    <t>52</t>
  </si>
  <si>
    <t>Ostale pomoći</t>
  </si>
  <si>
    <t>34</t>
  </si>
  <si>
    <t>ZAŠTITA I OČUVANJE PRIRODE I OKOLIŠA</t>
  </si>
  <si>
    <t>3408</t>
  </si>
  <si>
    <t>RAZVOJ SUSTAVA JAVNE ODVODNJE I ZAŠTITE VODA I MORA</t>
  </si>
  <si>
    <t>A937001</t>
  </si>
  <si>
    <t>ADMINISTRACIJA I UPRAVLJANJE</t>
  </si>
  <si>
    <t>31</t>
  </si>
  <si>
    <t>32</t>
  </si>
  <si>
    <t>Naknade građanima i kućanstvima na temelju osiguranja i druge naknade</t>
  </si>
  <si>
    <t>41</t>
  </si>
  <si>
    <t>42</t>
  </si>
  <si>
    <t>Rashodi za nabavu proizvedene dugotrajne imovine</t>
  </si>
  <si>
    <t>Pomoći</t>
  </si>
  <si>
    <t>05 Zaštita okoliša</t>
  </si>
  <si>
    <t>055 Istraživanje i razvoj: Zaštita okoliša</t>
  </si>
  <si>
    <t>5 Pomoći</t>
  </si>
  <si>
    <t>52 Ostale pomoći</t>
  </si>
  <si>
    <t>FINANCIJSKI PLAN INSTITUTA ZA VODE JOSIP JURAJ STROSSMAYER
ZA 2025. I PROJEKCIJE ZA 2026. I 2027. GODINU</t>
  </si>
  <si>
    <t>IZVRŠENJE
2023.</t>
  </si>
  <si>
    <t>TEKUĆI PLAN
2024.</t>
  </si>
  <si>
    <t>PLAN 
ZA 2025.</t>
  </si>
  <si>
    <t>PROJEKCIJA 
ZA 2027.</t>
  </si>
  <si>
    <t xml:space="preserve">Tekuće pomoći od izvanproračunskih korisnika </t>
  </si>
  <si>
    <t>Tekuće pomoći od ostalih izvanproračunskih korisnika državnog proračuna</t>
  </si>
  <si>
    <t>Kapitalne pomoći od ostalih izvanproračunskih korisnika državnog proračuna</t>
  </si>
  <si>
    <t>Plaće (Bruto)</t>
  </si>
  <si>
    <t>Plaće za redovan rad</t>
  </si>
  <si>
    <t>Plaće za prekovremeni rad</t>
  </si>
  <si>
    <t>Plaće za posebne uvjete rada</t>
  </si>
  <si>
    <t>Ostali rashodi za zaposlene</t>
  </si>
  <si>
    <t>Doprinosi na plaće</t>
  </si>
  <si>
    <t>Doprinosi za obvezno zdravstveno osiguranje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</si>
  <si>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</si>
  <si>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</si>
  <si>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</si>
  <si>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</si>
  <si>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</si>
  <si>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Uređaji, strojevi i oprema za ostale namjene</t>
  </si>
  <si>
    <t>Prijevozna sredstva</t>
  </si>
  <si>
    <t>Prijevozna sredstva u pomorskom i riječnom prometu</t>
  </si>
  <si>
    <t>Nematerijalna proizvedena imovina</t>
  </si>
  <si>
    <t>Ulaganja u računalne programe</t>
  </si>
  <si>
    <t>Nematerijalna imovina</t>
  </si>
  <si>
    <t>Licence</t>
  </si>
  <si>
    <t>Ostale naknade građanima i kućanstvima iz proračuna </t>
  </si>
  <si>
    <t>Naknade građanima i kućanstvima u novcu</t>
  </si>
  <si>
    <t>Naknade troškova zaposlenima</t>
  </si>
  <si>
    <t>Službena putovanja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</si>
  <si>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</si>
  <si>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</si>
  <si>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</si>
  <si>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</si>
  <si>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</si>
  <si>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</si>
  <si>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</si>
  <si>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</si>
  <si>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</si>
  <si>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</si>
  <si>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</si>
  <si>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</si>
  <si>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</si>
  <si>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</si>
  <si>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</si>
  <si>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</si>
  <si>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</si>
  <si>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</si>
  <si>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</si>
  <si>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</si>
  <si>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</si>
  <si>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</si>
  <si>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</si>
  <si>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</si>
  <si>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</si>
  <si>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PRIHODI I RASHODI PREMA EKONOMSKOJ KLASIFIKACIJI</t>
  </si>
  <si>
    <t xml:space="preserve">RAČUN PRIHODA I RASHODA </t>
  </si>
  <si>
    <t>OPĆI DIO</t>
  </si>
  <si>
    <t>Ministarstvo zaštite okoliša i zelene tranzicije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</si>
</sst>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n_-;\-* #,##0.00\ _k_n_-;_-* &quot;-&quot;??\ _k_n_-;_-@_-"/>
    <numFmt numFmtId="165" formatCode="0\7\8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7" fillId="0" borderId="0" applyFont="0" applyFill="0" applyBorder="0" applyAlignment="0" applyProtection="0"/>
    <xf numFmtId="0" fontId="9" fillId="4" borderId="6" applyNumberFormat="0" applyProtection="0">
      <alignment horizontal="left" vertical="center" indent="1"/>
    </xf>
    <xf numFmtId="0" fontId="17" fillId="0" borderId="0"/>
  </cellStyleXfs>
  <cellXfs count="200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applyFont="1" applyFill="1" applyBorder="1" applyAlignment="1">
      <alignment horizontal="left" vertical="center" wrapText="1" indent="1"/>
    </xf>
    <xf numFmtId="0" fontId="13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quotePrefix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6" fillId="0" borderId="0" xfId="0" applyFont="1"/>
    <xf numFmtId="0" fontId="15" fillId="3" borderId="4" xfId="0" applyFont="1" applyFill="1" applyBorder="1" applyAlignment="1">
      <alignment horizontal="center" vertical="center" wrapText="1"/>
    </xf>
    <xf numFmtId="0" fontId="15" fillId="3" borderId="3" xfId="0" quotePrefix="1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43" fontId="0" fillId="0" borderId="0" xfId="1" applyFont="1"/>
    <xf numFmtId="43" fontId="6" fillId="2" borderId="3" xfId="1" applyFont="1" applyFill="1" applyBorder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43" fontId="2" fillId="0" borderId="5" xfId="1" applyFont="1" applyBorder="1" applyAlignment="1">
      <alignment horizontal="center" vertical="center" wrapText="1"/>
    </xf>
    <xf numFmtId="43" fontId="1" fillId="0" borderId="5" xfId="1" applyFont="1" applyBorder="1" applyAlignment="1">
      <alignment horizontal="center" vertical="center"/>
    </xf>
    <xf numFmtId="43" fontId="14" fillId="0" borderId="5" xfId="1" applyFont="1" applyBorder="1" applyAlignment="1">
      <alignment horizontal="right" vertical="center"/>
    </xf>
    <xf numFmtId="43" fontId="6" fillId="0" borderId="3" xfId="1" quotePrefix="1" applyFont="1" applyBorder="1" applyAlignment="1">
      <alignment horizontal="center" vertical="center" wrapText="1"/>
    </xf>
    <xf numFmtId="43" fontId="8" fillId="0" borderId="0" xfId="1" applyFont="1" applyAlignment="1">
      <alignment wrapText="1"/>
    </xf>
    <xf numFmtId="43" fontId="5" fillId="0" borderId="0" xfId="1" applyFont="1" applyAlignment="1">
      <alignment horizontal="right"/>
    </xf>
    <xf numFmtId="43" fontId="0" fillId="0" borderId="0" xfId="0" applyNumberFormat="1"/>
    <xf numFmtId="43" fontId="3" fillId="0" borderId="0" xfId="1" applyFont="1" applyAlignment="1">
      <alignment vertical="center" wrapText="1"/>
    </xf>
    <xf numFmtId="43" fontId="13" fillId="0" borderId="0" xfId="1" applyFont="1" applyAlignment="1">
      <alignment wrapText="1"/>
    </xf>
    <xf numFmtId="164" fontId="0" fillId="0" borderId="0" xfId="0" applyNumberFormat="1"/>
    <xf numFmtId="1" fontId="15" fillId="0" borderId="3" xfId="1" quotePrefix="1" applyNumberFormat="1" applyFont="1" applyBorder="1" applyAlignment="1">
      <alignment horizontal="center" vertical="center" wrapText="1"/>
    </xf>
    <xf numFmtId="1" fontId="15" fillId="2" borderId="3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16" fillId="0" borderId="0" xfId="0" applyNumberFormat="1" applyFont="1"/>
    <xf numFmtId="3" fontId="2" fillId="0" borderId="0" xfId="1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5" fillId="0" borderId="0" xfId="1" applyNumberFormat="1" applyFont="1" applyAlignment="1">
      <alignment vertical="center" wrapText="1"/>
    </xf>
    <xf numFmtId="3" fontId="5" fillId="0" borderId="0" xfId="0" applyNumberFormat="1" applyFont="1" applyAlignment="1">
      <alignment vertical="center" wrapText="1"/>
    </xf>
    <xf numFmtId="3" fontId="6" fillId="3" borderId="3" xfId="1" quotePrefix="1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3" fontId="15" fillId="3" borderId="3" xfId="1" quotePrefix="1" applyNumberFormat="1" applyFont="1" applyFill="1" applyBorder="1" applyAlignment="1">
      <alignment horizontal="center" vertical="center" wrapText="1"/>
    </xf>
    <xf numFmtId="3" fontId="15" fillId="3" borderId="3" xfId="0" applyNumberFormat="1" applyFont="1" applyFill="1" applyBorder="1" applyAlignment="1">
      <alignment horizontal="center" vertical="center" wrapText="1"/>
    </xf>
    <xf numFmtId="3" fontId="0" fillId="0" borderId="0" xfId="1" applyNumberFormat="1" applyFont="1"/>
    <xf numFmtId="3" fontId="0" fillId="0" borderId="0" xfId="0" applyNumberFormat="1"/>
    <xf numFmtId="3" fontId="6" fillId="3" borderId="3" xfId="0" quotePrefix="1" applyNumberFormat="1" applyFont="1" applyFill="1" applyBorder="1" applyAlignment="1">
      <alignment horizontal="center" vertical="center" wrapText="1"/>
    </xf>
    <xf numFmtId="3" fontId="15" fillId="3" borderId="3" xfId="0" quotePrefix="1" applyNumberFormat="1" applyFont="1" applyFill="1" applyBorder="1" applyAlignment="1">
      <alignment horizontal="center" vertical="center" wrapText="1"/>
    </xf>
    <xf numFmtId="3" fontId="2" fillId="0" borderId="5" xfId="1" applyNumberFormat="1" applyFont="1" applyBorder="1" applyAlignment="1">
      <alignment horizontal="center" vertical="center" wrapText="1"/>
    </xf>
    <xf numFmtId="3" fontId="6" fillId="0" borderId="3" xfId="1" quotePrefix="1" applyNumberFormat="1" applyFont="1" applyBorder="1" applyAlignment="1">
      <alignment horizontal="center" vertical="center" wrapText="1"/>
    </xf>
    <xf numFmtId="3" fontId="15" fillId="0" borderId="3" xfId="1" quotePrefix="1" applyNumberFormat="1" applyFont="1" applyBorder="1" applyAlignment="1">
      <alignment horizontal="center" vertical="center" wrapText="1"/>
    </xf>
    <xf numFmtId="3" fontId="8" fillId="0" borderId="0" xfId="1" applyNumberFormat="1" applyFont="1" applyAlignment="1">
      <alignment wrapText="1"/>
    </xf>
    <xf numFmtId="0" fontId="20" fillId="0" borderId="3" xfId="2" quotePrefix="1" applyFont="1" applyFill="1" applyBorder="1" applyAlignment="1">
      <alignment horizontal="left" vertical="center" indent="8"/>
    </xf>
    <xf numFmtId="0" fontId="21" fillId="0" borderId="0" xfId="0" applyFont="1"/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3" fontId="23" fillId="0" borderId="0" xfId="1" applyNumberFormat="1" applyFont="1" applyAlignment="1">
      <alignment horizontal="center" vertical="center" wrapText="1"/>
    </xf>
    <xf numFmtId="43" fontId="23" fillId="0" borderId="0" xfId="1" applyFont="1" applyAlignment="1">
      <alignment horizontal="center" vertical="center" wrapText="1"/>
    </xf>
    <xf numFmtId="43" fontId="20" fillId="0" borderId="0" xfId="1" applyFont="1"/>
    <xf numFmtId="3" fontId="18" fillId="0" borderId="3" xfId="1" quotePrefix="1" applyNumberFormat="1" applyFont="1" applyBorder="1" applyAlignment="1">
      <alignment horizontal="center" vertical="center" wrapText="1"/>
    </xf>
    <xf numFmtId="3" fontId="25" fillId="0" borderId="3" xfId="1" quotePrefix="1" applyNumberFormat="1" applyFont="1" applyBorder="1" applyAlignment="1">
      <alignment horizontal="center" vertical="center" wrapText="1"/>
    </xf>
    <xf numFmtId="1" fontId="25" fillId="0" borderId="3" xfId="1" quotePrefix="1" applyNumberFormat="1" applyFont="1" applyBorder="1" applyAlignment="1">
      <alignment horizontal="center" vertical="center" wrapText="1"/>
    </xf>
    <xf numFmtId="1" fontId="25" fillId="2" borderId="3" xfId="1" applyNumberFormat="1" applyFont="1" applyFill="1" applyBorder="1" applyAlignment="1">
      <alignment horizontal="center" vertical="center" wrapText="1"/>
    </xf>
    <xf numFmtId="4" fontId="11" fillId="2" borderId="3" xfId="1" applyNumberFormat="1" applyFont="1" applyFill="1" applyBorder="1" applyAlignment="1">
      <alignment horizontal="right" vertical="center" wrapText="1"/>
    </xf>
    <xf numFmtId="4" fontId="9" fillId="2" borderId="3" xfId="1" applyNumberFormat="1" applyFont="1" applyFill="1" applyBorder="1" applyAlignment="1">
      <alignment horizontal="right" vertical="center" wrapText="1"/>
    </xf>
    <xf numFmtId="4" fontId="11" fillId="2" borderId="3" xfId="1" applyNumberFormat="1" applyFont="1" applyFill="1" applyBorder="1" applyAlignment="1">
      <alignment vertical="center" wrapText="1"/>
    </xf>
    <xf numFmtId="4" fontId="18" fillId="0" borderId="3" xfId="1" applyNumberFormat="1" applyFont="1" applyBorder="1" applyAlignment="1">
      <alignment vertical="center"/>
    </xf>
    <xf numFmtId="4" fontId="18" fillId="3" borderId="3" xfId="1" applyNumberFormat="1" applyFont="1" applyFill="1" applyBorder="1" applyAlignment="1">
      <alignment vertical="center"/>
    </xf>
    <xf numFmtId="4" fontId="18" fillId="2" borderId="3" xfId="1" applyNumberFormat="1" applyFont="1" applyFill="1" applyBorder="1" applyAlignment="1">
      <alignment horizontal="right" vertical="center" wrapText="1"/>
    </xf>
    <xf numFmtId="4" fontId="18" fillId="2" borderId="3" xfId="1" applyNumberFormat="1" applyFont="1" applyFill="1" applyBorder="1" applyAlignment="1">
      <alignment vertical="center" wrapText="1"/>
    </xf>
    <xf numFmtId="4" fontId="18" fillId="3" borderId="3" xfId="1" applyNumberFormat="1" applyFont="1" applyFill="1" applyBorder="1" applyAlignment="1">
      <alignment vertical="center" wrapText="1"/>
    </xf>
    <xf numFmtId="4" fontId="18" fillId="0" borderId="3" xfId="1" applyNumberFormat="1" applyFont="1" applyBorder="1" applyAlignment="1">
      <alignment horizontal="right" vertical="center" wrapText="1"/>
    </xf>
    <xf numFmtId="4" fontId="18" fillId="0" borderId="3" xfId="1" applyNumberFormat="1" applyFont="1" applyBorder="1" applyAlignment="1">
      <alignment horizontal="right"/>
    </xf>
    <xf numFmtId="4" fontId="18" fillId="0" borderId="3" xfId="1" quotePrefix="1" applyNumberFormat="1" applyFont="1" applyBorder="1" applyAlignment="1">
      <alignment horizontal="right" wrapText="1"/>
    </xf>
    <xf numFmtId="0" fontId="18" fillId="0" borderId="3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18" fillId="0" borderId="7" xfId="0" applyFont="1" applyBorder="1" applyAlignment="1">
      <alignment horizontal="left"/>
    </xf>
    <xf numFmtId="0" fontId="20" fillId="0" borderId="3" xfId="3" applyFont="1" applyBorder="1" applyAlignment="1">
      <alignment horizontal="left"/>
    </xf>
    <xf numFmtId="4" fontId="9" fillId="2" borderId="3" xfId="1" applyNumberFormat="1" applyFont="1" applyFill="1" applyBorder="1" applyAlignment="1">
      <alignment horizontal="right" wrapText="1"/>
    </xf>
    <xf numFmtId="0" fontId="20" fillId="2" borderId="3" xfId="0" applyFont="1" applyFill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top" wrapText="1" justifyLastLine="1"/>
    </xf>
    <xf numFmtId="0" fontId="20" fillId="0" borderId="0" xfId="0" applyFont="1" applyAlignment="1">
      <alignment horizontal="left" vertical="top" wrapText="1" justifyLastLine="1"/>
    </xf>
    <xf numFmtId="0" fontId="27" fillId="0" borderId="0" xfId="0" applyFont="1"/>
    <xf numFmtId="0" fontId="20" fillId="0" borderId="3" xfId="0" applyFont="1" applyBorder="1" applyAlignment="1">
      <alignment vertical="top" wrapText="1" justifyLastLine="1"/>
    </xf>
    <xf numFmtId="0" fontId="27" fillId="0" borderId="3" xfId="0" applyFont="1" applyBorder="1" applyAlignment="1">
      <alignment wrapText="1"/>
    </xf>
    <xf numFmtId="0" fontId="18" fillId="0" borderId="0" xfId="0" applyFont="1"/>
    <xf numFmtId="0" fontId="27" fillId="0" borderId="3" xfId="0" applyFont="1" applyBorder="1"/>
    <xf numFmtId="0" fontId="18" fillId="0" borderId="3" xfId="0" applyFont="1" applyBorder="1"/>
    <xf numFmtId="0" fontId="18" fillId="2" borderId="3" xfId="0" applyFont="1" applyFill="1" applyBorder="1" applyAlignment="1">
      <alignment horizontal="left" vertical="center" wrapText="1"/>
    </xf>
    <xf numFmtId="0" fontId="18" fillId="2" borderId="3" xfId="0" quotePrefix="1" applyFont="1" applyFill="1" applyBorder="1" applyAlignment="1">
      <alignment horizontal="left" vertical="center"/>
    </xf>
    <xf numFmtId="0" fontId="18" fillId="2" borderId="3" xfId="0" applyFont="1" applyFill="1" applyBorder="1" applyAlignment="1">
      <alignment vertical="center" wrapText="1"/>
    </xf>
    <xf numFmtId="0" fontId="18" fillId="2" borderId="3" xfId="0" quotePrefix="1" applyFont="1" applyFill="1" applyBorder="1" applyAlignment="1">
      <alignment horizontal="left" vertical="center" wrapText="1"/>
    </xf>
    <xf numFmtId="4" fontId="11" fillId="2" borderId="3" xfId="1" applyNumberFormat="1" applyFont="1" applyFill="1" applyBorder="1" applyAlignment="1">
      <alignment horizontal="right" wrapText="1"/>
    </xf>
    <xf numFmtId="4" fontId="18" fillId="2" borderId="3" xfId="1" applyNumberFormat="1" applyFont="1" applyFill="1" applyBorder="1" applyAlignment="1">
      <alignment horizontal="right" wrapText="1"/>
    </xf>
    <xf numFmtId="4" fontId="20" fillId="2" borderId="3" xfId="1" applyNumberFormat="1" applyFont="1" applyFill="1" applyBorder="1" applyAlignment="1">
      <alignment horizontal="right" wrapText="1"/>
    </xf>
    <xf numFmtId="4" fontId="0" fillId="0" borderId="0" xfId="1" applyNumberFormat="1" applyFont="1" applyAlignment="1">
      <alignment horizontal="right"/>
    </xf>
    <xf numFmtId="4" fontId="0" fillId="0" borderId="0" xfId="0" applyNumberFormat="1"/>
    <xf numFmtId="4" fontId="6" fillId="2" borderId="3" xfId="1" applyNumberFormat="1" applyFont="1" applyFill="1" applyBorder="1" applyAlignment="1">
      <alignment horizontal="right" vertical="center" wrapText="1"/>
    </xf>
    <xf numFmtId="4" fontId="6" fillId="0" borderId="3" xfId="1" applyNumberFormat="1" applyFont="1" applyFill="1" applyBorder="1" applyAlignment="1">
      <alignment horizontal="right" vertical="center" wrapText="1"/>
    </xf>
    <xf numFmtId="0" fontId="18" fillId="0" borderId="3" xfId="2" quotePrefix="1" applyFont="1" applyFill="1" applyBorder="1" applyAlignment="1">
      <alignment horizontal="left" vertical="center" indent="8"/>
    </xf>
    <xf numFmtId="0" fontId="19" fillId="2" borderId="3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20" fillId="2" borderId="3" xfId="0" applyFont="1" applyFill="1" applyBorder="1" applyAlignment="1">
      <alignment horizontal="right" vertical="center" wrapText="1"/>
    </xf>
    <xf numFmtId="0" fontId="20" fillId="0" borderId="3" xfId="0" applyFont="1" applyBorder="1" applyAlignment="1">
      <alignment horizontal="right" vertical="top" wrapText="1" justifyLastLine="1"/>
    </xf>
    <xf numFmtId="0" fontId="20" fillId="0" borderId="0" xfId="0" applyFont="1" applyAlignment="1">
      <alignment horizontal="right" vertical="top" wrapText="1" justifyLastLine="1"/>
    </xf>
    <xf numFmtId="0" fontId="9" fillId="2" borderId="3" xfId="0" quotePrefix="1" applyFont="1" applyFill="1" applyBorder="1" applyAlignment="1">
      <alignment horizontal="right" vertical="center"/>
    </xf>
    <xf numFmtId="4" fontId="27" fillId="2" borderId="3" xfId="1" applyNumberFormat="1" applyFont="1" applyFill="1" applyBorder="1" applyAlignment="1">
      <alignment horizontal="right" vertical="center" wrapText="1"/>
    </xf>
    <xf numFmtId="4" fontId="9" fillId="0" borderId="3" xfId="1" applyNumberFormat="1" applyFont="1" applyFill="1" applyBorder="1" applyAlignment="1">
      <alignment horizontal="right" wrapText="1"/>
    </xf>
    <xf numFmtId="4" fontId="18" fillId="2" borderId="3" xfId="0" applyNumberFormat="1" applyFont="1" applyFill="1" applyBorder="1" applyAlignment="1">
      <alignment horizontal="center" vertical="center" wrapText="1"/>
    </xf>
    <xf numFmtId="4" fontId="19" fillId="2" borderId="3" xfId="0" applyNumberFormat="1" applyFont="1" applyFill="1" applyBorder="1" applyAlignment="1">
      <alignment horizontal="center"/>
    </xf>
    <xf numFmtId="4" fontId="11" fillId="2" borderId="3" xfId="0" applyNumberFormat="1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left" vertical="center" wrapText="1"/>
    </xf>
    <xf numFmtId="4" fontId="0" fillId="0" borderId="3" xfId="0" applyNumberForma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4" fontId="18" fillId="0" borderId="3" xfId="1" quotePrefix="1" applyNumberFormat="1" applyFont="1" applyFill="1" applyBorder="1" applyAlignment="1">
      <alignment horizontal="right" wrapText="1"/>
    </xf>
    <xf numFmtId="4" fontId="18" fillId="0" borderId="3" xfId="1" applyNumberFormat="1" applyFont="1" applyFill="1" applyBorder="1" applyAlignment="1">
      <alignment horizontal="right" vertical="center" wrapText="1"/>
    </xf>
    <xf numFmtId="43" fontId="29" fillId="0" borderId="0" xfId="1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20" fillId="0" borderId="3" xfId="1" applyNumberFormat="1" applyFont="1" applyFill="1" applyBorder="1" applyAlignment="1">
      <alignment horizontal="right" wrapText="1"/>
    </xf>
    <xf numFmtId="4" fontId="30" fillId="0" borderId="0" xfId="1" applyNumberFormat="1" applyFont="1" applyAlignment="1">
      <alignment horizontal="center"/>
    </xf>
    <xf numFmtId="3" fontId="28" fillId="0" borderId="0" xfId="1" applyNumberFormat="1" applyFont="1"/>
    <xf numFmtId="3" fontId="28" fillId="0" borderId="0" xfId="0" applyNumberFormat="1" applyFont="1"/>
    <xf numFmtId="3" fontId="28" fillId="0" borderId="0" xfId="0" applyNumberFormat="1" applyFont="1" applyAlignment="1">
      <alignment horizontal="center"/>
    </xf>
    <xf numFmtId="3" fontId="31" fillId="0" borderId="0" xfId="0" applyNumberFormat="1" applyFont="1" applyAlignment="1">
      <alignment horizontal="center"/>
    </xf>
    <xf numFmtId="3" fontId="30" fillId="0" borderId="0" xfId="0" applyNumberFormat="1" applyFont="1" applyAlignment="1">
      <alignment horizontal="center"/>
    </xf>
    <xf numFmtId="0" fontId="30" fillId="0" borderId="0" xfId="0" applyFont="1"/>
    <xf numFmtId="4" fontId="18" fillId="0" borderId="3" xfId="1" applyNumberFormat="1" applyFont="1" applyFill="1" applyBorder="1" applyAlignment="1">
      <alignment horizontal="right" wrapText="1"/>
    </xf>
    <xf numFmtId="4" fontId="11" fillId="0" borderId="3" xfId="1" applyNumberFormat="1" applyFont="1" applyFill="1" applyBorder="1" applyAlignment="1">
      <alignment horizontal="right" wrapText="1"/>
    </xf>
    <xf numFmtId="10" fontId="29" fillId="0" borderId="0" xfId="1" applyNumberFormat="1" applyFont="1" applyAlignment="1">
      <alignment horizontal="center"/>
    </xf>
    <xf numFmtId="10" fontId="0" fillId="0" borderId="0" xfId="1" applyNumberFormat="1" applyFont="1" applyAlignment="1">
      <alignment horizontal="center"/>
    </xf>
    <xf numFmtId="10" fontId="29" fillId="0" borderId="0" xfId="0" applyNumberFormat="1" applyFont="1" applyAlignment="1">
      <alignment horizontal="center"/>
    </xf>
    <xf numFmtId="0" fontId="29" fillId="0" borderId="0" xfId="0" applyFont="1"/>
    <xf numFmtId="10" fontId="32" fillId="0" borderId="0" xfId="0" applyNumberFormat="1" applyFont="1" applyAlignment="1">
      <alignment horizontal="center"/>
    </xf>
    <xf numFmtId="4" fontId="18" fillId="2" borderId="1" xfId="1" applyNumberFormat="1" applyFont="1" applyFill="1" applyBorder="1" applyAlignment="1">
      <alignment horizontal="right" wrapText="1"/>
    </xf>
    <xf numFmtId="10" fontId="0" fillId="0" borderId="8" xfId="1" applyNumberFormat="1" applyFont="1" applyBorder="1" applyAlignment="1">
      <alignment horizontal="center"/>
    </xf>
    <xf numFmtId="10" fontId="29" fillId="0" borderId="8" xfId="1" applyNumberFormat="1" applyFont="1" applyBorder="1" applyAlignment="1">
      <alignment horizontal="center"/>
    </xf>
    <xf numFmtId="4" fontId="29" fillId="0" borderId="0" xfId="0" applyNumberFormat="1" applyFont="1" applyAlignment="1">
      <alignment horizontal="center"/>
    </xf>
    <xf numFmtId="3" fontId="6" fillId="0" borderId="3" xfId="0" quotePrefix="1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left" vertical="center" wrapText="1"/>
    </xf>
    <xf numFmtId="165" fontId="3" fillId="2" borderId="3" xfId="0" applyNumberFormat="1" applyFont="1" applyFill="1" applyBorder="1" applyAlignment="1">
      <alignment horizontal="left" vertical="center" wrapText="1"/>
    </xf>
    <xf numFmtId="4" fontId="27" fillId="0" borderId="3" xfId="1" applyNumberFormat="1" applyFont="1" applyFill="1" applyBorder="1" applyAlignment="1">
      <alignment horizontal="right" vertical="center" wrapText="1"/>
    </xf>
    <xf numFmtId="0" fontId="33" fillId="0" borderId="0" xfId="0" applyFont="1"/>
    <xf numFmtId="43" fontId="29" fillId="0" borderId="0" xfId="1" applyFont="1"/>
    <xf numFmtId="0" fontId="5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8" fillId="3" borderId="1" xfId="0" quotePrefix="1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1" fontId="15" fillId="0" borderId="3" xfId="0" quotePrefix="1" applyNumberFormat="1" applyFont="1" applyBorder="1" applyAlignment="1">
      <alignment horizontal="center" vertical="center" wrapText="1"/>
    </xf>
    <xf numFmtId="1" fontId="25" fillId="0" borderId="3" xfId="0" quotePrefix="1" applyNumberFormat="1" applyFont="1" applyBorder="1" applyAlignment="1">
      <alignment horizontal="center" vertical="center" wrapText="1"/>
    </xf>
    <xf numFmtId="0" fontId="18" fillId="0" borderId="1" xfId="0" quotePrefix="1" applyFont="1" applyBorder="1" applyAlignment="1">
      <alignment horizontal="left" wrapText="1"/>
    </xf>
    <xf numFmtId="0" fontId="18" fillId="0" borderId="2" xfId="0" quotePrefix="1" applyFont="1" applyBorder="1" applyAlignment="1">
      <alignment horizontal="left" wrapText="1"/>
    </xf>
    <xf numFmtId="0" fontId="24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vertical="center" wrapText="1"/>
    </xf>
    <xf numFmtId="0" fontId="18" fillId="0" borderId="1" xfId="0" quotePrefix="1" applyFont="1" applyBorder="1" applyAlignment="1">
      <alignment horizontal="center" vertical="center" wrapText="1"/>
    </xf>
    <xf numFmtId="0" fontId="18" fillId="0" borderId="2" xfId="0" quotePrefix="1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" fontId="15" fillId="3" borderId="1" xfId="0" applyNumberFormat="1" applyFont="1" applyFill="1" applyBorder="1" applyAlignment="1">
      <alignment horizontal="center" vertical="center" wrapText="1"/>
    </xf>
    <xf numFmtId="1" fontId="15" fillId="3" borderId="2" xfId="0" applyNumberFormat="1" applyFont="1" applyFill="1" applyBorder="1" applyAlignment="1">
      <alignment horizontal="center" vertical="center" wrapText="1"/>
    </xf>
    <xf numFmtId="1" fontId="15" fillId="3" borderId="4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B0F303CA-EE54-4B4C-A6E4-F9418E6B4CCD}"/>
    <cellStyle name="SAPBEXHLevel3" xfId="2" xr:uid="{8C67FC2C-20D9-4865-A844-8DFE0F08B0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29"/>
  <sheetViews>
    <sheetView workbookViewId="0">
      <selection activeCell="L18" sqref="L18"/>
    </sheetView>
  </sheetViews>
  <sheetFormatPr defaultRowHeight="14.3" x14ac:dyDescent="0.25"/>
  <cols>
    <col min="5" max="5" width="25.25" customWidth="1"/>
    <col min="6" max="6" width="19.375" style="62" customWidth="1"/>
    <col min="7" max="10" width="19.375" style="37" customWidth="1"/>
    <col min="11" max="12" width="25.25" customWidth="1"/>
  </cols>
  <sheetData>
    <row r="1" spans="1:12" ht="42.15" customHeight="1" x14ac:dyDescent="0.25">
      <c r="A1" s="166" t="s">
        <v>72</v>
      </c>
      <c r="B1" s="166"/>
      <c r="C1" s="166"/>
      <c r="D1" s="166"/>
      <c r="E1" s="166"/>
      <c r="F1" s="166"/>
      <c r="G1" s="166"/>
      <c r="H1" s="166"/>
      <c r="I1" s="166"/>
      <c r="J1" s="166"/>
      <c r="K1" s="26"/>
      <c r="L1" s="26"/>
    </row>
    <row r="2" spans="1:12" ht="18" customHeight="1" x14ac:dyDescent="0.25">
      <c r="A2" s="4"/>
      <c r="B2" s="4"/>
      <c r="C2" s="4"/>
      <c r="D2" s="4"/>
      <c r="E2" s="4"/>
      <c r="F2" s="54"/>
      <c r="G2" s="39"/>
      <c r="H2" s="39"/>
      <c r="I2" s="39"/>
      <c r="J2" s="39"/>
      <c r="K2" s="4"/>
      <c r="L2" s="4"/>
    </row>
    <row r="3" spans="1:12" ht="15.65" customHeight="1" x14ac:dyDescent="0.25">
      <c r="A3" s="166" t="s">
        <v>16</v>
      </c>
      <c r="B3" s="166"/>
      <c r="C3" s="166"/>
      <c r="D3" s="166"/>
      <c r="E3" s="166"/>
      <c r="F3" s="166"/>
      <c r="G3" s="166"/>
      <c r="H3" s="166"/>
      <c r="I3" s="166"/>
      <c r="J3" s="166"/>
      <c r="K3" s="24"/>
      <c r="L3" s="24"/>
    </row>
    <row r="4" spans="1:12" ht="18" x14ac:dyDescent="0.25">
      <c r="A4" s="4"/>
      <c r="B4" s="4"/>
      <c r="C4" s="4"/>
      <c r="D4" s="4"/>
      <c r="E4" s="4"/>
      <c r="F4" s="54"/>
      <c r="G4" s="39"/>
      <c r="H4" s="39"/>
      <c r="I4" s="39"/>
      <c r="J4" s="39"/>
      <c r="K4" s="5"/>
      <c r="L4" s="5"/>
    </row>
    <row r="5" spans="1:12" ht="18" customHeight="1" x14ac:dyDescent="0.3">
      <c r="A5" s="166" t="s">
        <v>31</v>
      </c>
      <c r="B5" s="166"/>
      <c r="C5" s="166"/>
      <c r="D5" s="166"/>
      <c r="E5" s="166"/>
      <c r="F5" s="166"/>
      <c r="G5" s="166"/>
      <c r="H5" s="166"/>
      <c r="I5" s="166"/>
      <c r="J5" s="166"/>
      <c r="K5" s="23"/>
      <c r="L5" s="23"/>
    </row>
    <row r="6" spans="1:12" ht="18" x14ac:dyDescent="0.25">
      <c r="A6" s="1"/>
      <c r="B6" s="2"/>
      <c r="C6" s="2"/>
      <c r="D6" s="2"/>
      <c r="E6" s="6"/>
      <c r="F6" s="66"/>
      <c r="G6" s="40"/>
      <c r="H6" s="41"/>
      <c r="I6" s="41"/>
      <c r="J6" s="42"/>
    </row>
    <row r="7" spans="1:12" ht="27.2" x14ac:dyDescent="0.25">
      <c r="A7" s="177" t="s">
        <v>11</v>
      </c>
      <c r="B7" s="178"/>
      <c r="C7" s="178"/>
      <c r="D7" s="178"/>
      <c r="E7" s="178"/>
      <c r="F7" s="67" t="s">
        <v>73</v>
      </c>
      <c r="G7" s="43" t="s">
        <v>74</v>
      </c>
      <c r="H7" s="38" t="s">
        <v>75</v>
      </c>
      <c r="I7" s="38" t="s">
        <v>41</v>
      </c>
      <c r="J7" s="38" t="s">
        <v>76</v>
      </c>
    </row>
    <row r="8" spans="1:12" s="52" customFormat="1" ht="11.9" customHeight="1" x14ac:dyDescent="0.25">
      <c r="A8" s="179">
        <v>1</v>
      </c>
      <c r="B8" s="179"/>
      <c r="C8" s="179"/>
      <c r="D8" s="179"/>
      <c r="E8" s="179"/>
      <c r="F8" s="68">
        <v>2</v>
      </c>
      <c r="G8" s="50">
        <v>3</v>
      </c>
      <c r="H8" s="51">
        <v>4</v>
      </c>
      <c r="I8" s="51">
        <v>5</v>
      </c>
      <c r="J8" s="51">
        <v>6</v>
      </c>
    </row>
    <row r="9" spans="1:12" x14ac:dyDescent="0.25">
      <c r="A9" s="176" t="s">
        <v>33</v>
      </c>
      <c r="B9" s="172"/>
      <c r="C9" s="172"/>
      <c r="D9" s="172"/>
      <c r="E9" s="168"/>
      <c r="F9" s="81">
        <f>' Račun prihoda i rashoda-ekonom'!D11</f>
        <v>8660400</v>
      </c>
      <c r="G9" s="83">
        <f>' Račun prihoda i rashoda-ekonom'!E11</f>
        <v>7538000</v>
      </c>
      <c r="H9" s="83">
        <f>' Račun prihoda i rashoda-ekonom'!F11</f>
        <v>10617632</v>
      </c>
      <c r="I9" s="83">
        <f>' Račun prihoda i rashoda-ekonom'!G11</f>
        <v>9300000</v>
      </c>
      <c r="J9" s="83">
        <f>' Račun prihoda i rashoda-ekonom'!H11</f>
        <v>9100000</v>
      </c>
    </row>
    <row r="10" spans="1:12" ht="14.95" x14ac:dyDescent="0.25">
      <c r="A10" s="167" t="s">
        <v>34</v>
      </c>
      <c r="B10" s="168"/>
      <c r="C10" s="168"/>
      <c r="D10" s="168"/>
      <c r="E10" s="168"/>
      <c r="F10" s="84">
        <v>0</v>
      </c>
      <c r="G10" s="84">
        <v>0</v>
      </c>
      <c r="H10" s="84">
        <v>0</v>
      </c>
      <c r="I10" s="84">
        <v>0</v>
      </c>
      <c r="J10" s="84">
        <v>0</v>
      </c>
    </row>
    <row r="11" spans="1:12" ht="14.95" x14ac:dyDescent="0.25">
      <c r="A11" s="173" t="s">
        <v>0</v>
      </c>
      <c r="B11" s="174"/>
      <c r="C11" s="174"/>
      <c r="D11" s="174"/>
      <c r="E11" s="175"/>
      <c r="F11" s="85">
        <f>SUM(F9:F10)</f>
        <v>8660400</v>
      </c>
      <c r="G11" s="85">
        <f t="shared" ref="G11:J11" si="0">SUM(G9:G10)</f>
        <v>7538000</v>
      </c>
      <c r="H11" s="85">
        <f>SUM(H9:H10)</f>
        <v>10617632</v>
      </c>
      <c r="I11" s="85">
        <f t="shared" si="0"/>
        <v>9300000</v>
      </c>
      <c r="J11" s="85">
        <f t="shared" si="0"/>
        <v>9100000</v>
      </c>
    </row>
    <row r="12" spans="1:12" x14ac:dyDescent="0.25">
      <c r="A12" s="171" t="s">
        <v>35</v>
      </c>
      <c r="B12" s="172"/>
      <c r="C12" s="172"/>
      <c r="D12" s="172"/>
      <c r="E12" s="172"/>
      <c r="F12" s="86">
        <f>' Račun prihoda i rashoda-ekonom'!D20</f>
        <v>6911621.7199999997</v>
      </c>
      <c r="G12" s="87">
        <f>' Račun prihoda i rashoda-ekonom'!E20</f>
        <v>7257900</v>
      </c>
      <c r="H12" s="87">
        <f>' Račun prihoda i rashoda-ekonom'!F20</f>
        <v>11347500</v>
      </c>
      <c r="I12" s="87">
        <f>' Račun prihoda i rashoda-ekonom'!G20</f>
        <v>9097220</v>
      </c>
      <c r="J12" s="87">
        <f>' Račun prihoda i rashoda-ekonom'!H20</f>
        <v>8845340</v>
      </c>
    </row>
    <row r="13" spans="1:12" ht="14.95" x14ac:dyDescent="0.25">
      <c r="A13" s="167" t="s">
        <v>36</v>
      </c>
      <c r="B13" s="168"/>
      <c r="C13" s="168"/>
      <c r="D13" s="168"/>
      <c r="E13" s="168"/>
      <c r="F13" s="84">
        <f>' Račun prihoda i rashoda-ekonom'!D62</f>
        <v>119841.88</v>
      </c>
      <c r="G13" s="84">
        <f>' Račun prihoda i rashoda-ekonom'!E62</f>
        <v>280100</v>
      </c>
      <c r="H13" s="84">
        <f>' Račun prihoda i rashoda-ekonom'!F62</f>
        <v>617500</v>
      </c>
      <c r="I13" s="84">
        <f>' Račun prihoda i rashoda-ekonom'!G62</f>
        <v>202780</v>
      </c>
      <c r="J13" s="84">
        <f>' Račun prihoda i rashoda-ekonom'!H62</f>
        <v>254660</v>
      </c>
    </row>
    <row r="14" spans="1:12" ht="14.95" x14ac:dyDescent="0.25">
      <c r="A14" s="18" t="s">
        <v>1</v>
      </c>
      <c r="B14" s="19"/>
      <c r="C14" s="19"/>
      <c r="D14" s="19"/>
      <c r="E14" s="19"/>
      <c r="F14" s="85">
        <f>F12+F13</f>
        <v>7031463.5999999996</v>
      </c>
      <c r="G14" s="85">
        <f t="shared" ref="G14:J14" si="1">G12+G13</f>
        <v>7538000</v>
      </c>
      <c r="H14" s="85">
        <f>H12+H13</f>
        <v>11965000</v>
      </c>
      <c r="I14" s="85">
        <f t="shared" si="1"/>
        <v>9300000</v>
      </c>
      <c r="J14" s="85">
        <f t="shared" si="1"/>
        <v>9100000</v>
      </c>
    </row>
    <row r="15" spans="1:12" x14ac:dyDescent="0.25">
      <c r="A15" s="169" t="s">
        <v>2</v>
      </c>
      <c r="B15" s="170"/>
      <c r="C15" s="170"/>
      <c r="D15" s="170"/>
      <c r="E15" s="170"/>
      <c r="F15" s="88">
        <f>F11-F14</f>
        <v>1628936.4000000004</v>
      </c>
      <c r="G15" s="88">
        <f>G11-G14</f>
        <v>0</v>
      </c>
      <c r="H15" s="88">
        <f t="shared" ref="H15:J15" si="2">H11-H14</f>
        <v>-1347368</v>
      </c>
      <c r="I15" s="88">
        <f t="shared" si="2"/>
        <v>0</v>
      </c>
      <c r="J15" s="88">
        <f t="shared" si="2"/>
        <v>0</v>
      </c>
    </row>
    <row r="16" spans="1:12" ht="18" x14ac:dyDescent="0.25">
      <c r="A16" s="72"/>
      <c r="B16" s="73"/>
      <c r="C16" s="73"/>
      <c r="D16" s="73"/>
      <c r="E16" s="73"/>
      <c r="F16" s="74"/>
      <c r="G16" s="75"/>
      <c r="H16" s="75"/>
      <c r="I16" s="75"/>
      <c r="J16" s="76"/>
      <c r="K16" s="3"/>
      <c r="L16" s="3"/>
    </row>
    <row r="17" spans="1:12" ht="18" customHeight="1" x14ac:dyDescent="0.3">
      <c r="A17" s="183" t="s">
        <v>32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23"/>
      <c r="L17" s="23"/>
    </row>
    <row r="18" spans="1:12" ht="18.55" x14ac:dyDescent="0.25">
      <c r="A18" s="72"/>
      <c r="B18" s="73"/>
      <c r="C18" s="73"/>
      <c r="D18" s="73"/>
      <c r="E18" s="73"/>
      <c r="F18" s="74"/>
      <c r="G18" s="75"/>
      <c r="H18" s="76"/>
      <c r="I18" s="76"/>
      <c r="J18" s="76"/>
    </row>
    <row r="19" spans="1:12" ht="27.2" x14ac:dyDescent="0.25">
      <c r="A19" s="187" t="s">
        <v>11</v>
      </c>
      <c r="B19" s="188"/>
      <c r="C19" s="188"/>
      <c r="D19" s="188"/>
      <c r="E19" s="188"/>
      <c r="F19" s="77" t="s">
        <v>73</v>
      </c>
      <c r="G19" s="43" t="s">
        <v>74</v>
      </c>
      <c r="H19" s="38" t="s">
        <v>75</v>
      </c>
      <c r="I19" s="38" t="s">
        <v>41</v>
      </c>
      <c r="J19" s="38" t="s">
        <v>76</v>
      </c>
    </row>
    <row r="20" spans="1:12" s="52" customFormat="1" ht="11.9" customHeight="1" x14ac:dyDescent="0.25">
      <c r="A20" s="180">
        <v>1</v>
      </c>
      <c r="B20" s="180"/>
      <c r="C20" s="180"/>
      <c r="D20" s="180"/>
      <c r="E20" s="180"/>
      <c r="F20" s="78">
        <v>2</v>
      </c>
      <c r="G20" s="79">
        <v>3</v>
      </c>
      <c r="H20" s="80">
        <v>4</v>
      </c>
      <c r="I20" s="80">
        <v>5</v>
      </c>
      <c r="J20" s="80">
        <v>6</v>
      </c>
    </row>
    <row r="21" spans="1:12" ht="15.65" customHeight="1" x14ac:dyDescent="0.25">
      <c r="A21" s="184" t="s">
        <v>37</v>
      </c>
      <c r="B21" s="185"/>
      <c r="C21" s="185"/>
      <c r="D21" s="185"/>
      <c r="E21" s="185"/>
      <c r="F21" s="89">
        <v>0</v>
      </c>
      <c r="G21" s="89">
        <v>0</v>
      </c>
      <c r="H21" s="90">
        <v>0</v>
      </c>
      <c r="I21" s="90">
        <v>0</v>
      </c>
      <c r="J21" s="90">
        <v>0</v>
      </c>
    </row>
    <row r="22" spans="1:12" x14ac:dyDescent="0.25">
      <c r="A22" s="184" t="s">
        <v>38</v>
      </c>
      <c r="B22" s="186"/>
      <c r="C22" s="186"/>
      <c r="D22" s="186"/>
      <c r="E22" s="186"/>
      <c r="F22" s="89">
        <v>0</v>
      </c>
      <c r="G22" s="89">
        <v>0</v>
      </c>
      <c r="H22" s="90">
        <v>0</v>
      </c>
      <c r="I22" s="90">
        <v>0</v>
      </c>
      <c r="J22" s="90">
        <v>0</v>
      </c>
    </row>
    <row r="23" spans="1:12" x14ac:dyDescent="0.25">
      <c r="A23" s="189" t="s">
        <v>39</v>
      </c>
      <c r="B23" s="170"/>
      <c r="C23" s="170"/>
      <c r="D23" s="170"/>
      <c r="E23" s="190"/>
      <c r="F23" s="85">
        <v>0</v>
      </c>
      <c r="G23" s="85">
        <f t="shared" ref="G23:J23" si="3">SUM(G21:G22)</f>
        <v>0</v>
      </c>
      <c r="H23" s="85">
        <f t="shared" si="3"/>
        <v>0</v>
      </c>
      <c r="I23" s="85">
        <f t="shared" si="3"/>
        <v>0</v>
      </c>
      <c r="J23" s="85">
        <f t="shared" si="3"/>
        <v>0</v>
      </c>
    </row>
    <row r="24" spans="1:12" x14ac:dyDescent="0.25">
      <c r="A24" s="181" t="s">
        <v>22</v>
      </c>
      <c r="B24" s="182"/>
      <c r="C24" s="182"/>
      <c r="D24" s="182"/>
      <c r="E24" s="182"/>
      <c r="F24" s="91">
        <v>318431.52</v>
      </c>
      <c r="G24" s="91">
        <v>1947368</v>
      </c>
      <c r="H24" s="137">
        <v>1947368</v>
      </c>
      <c r="I24" s="137">
        <v>600000</v>
      </c>
      <c r="J24" s="137">
        <v>600000</v>
      </c>
    </row>
    <row r="25" spans="1:12" x14ac:dyDescent="0.25">
      <c r="A25" s="181" t="s">
        <v>40</v>
      </c>
      <c r="B25" s="182"/>
      <c r="C25" s="182"/>
      <c r="D25" s="182"/>
      <c r="E25" s="182"/>
      <c r="F25" s="91">
        <v>-1947367.92</v>
      </c>
      <c r="G25" s="136">
        <v>-1947368</v>
      </c>
      <c r="H25" s="137">
        <v>-600000</v>
      </c>
      <c r="I25" s="137">
        <v>-600000</v>
      </c>
      <c r="J25" s="137">
        <v>-600000</v>
      </c>
    </row>
    <row r="26" spans="1:12" x14ac:dyDescent="0.25">
      <c r="A26" s="169" t="s">
        <v>3</v>
      </c>
      <c r="B26" s="170"/>
      <c r="C26" s="170"/>
      <c r="D26" s="170"/>
      <c r="E26" s="170"/>
      <c r="F26" s="88">
        <f>F24+F25</f>
        <v>-1628936.4</v>
      </c>
      <c r="G26" s="88">
        <f>G24+G25</f>
        <v>0</v>
      </c>
      <c r="H26" s="88">
        <f t="shared" ref="H26:J26" si="4">H24+H25</f>
        <v>1347368</v>
      </c>
      <c r="I26" s="88">
        <f t="shared" si="4"/>
        <v>0</v>
      </c>
      <c r="J26" s="88">
        <f t="shared" si="4"/>
        <v>0</v>
      </c>
    </row>
    <row r="27" spans="1:12" x14ac:dyDescent="0.25">
      <c r="A27" s="169" t="s">
        <v>4</v>
      </c>
      <c r="B27" s="170"/>
      <c r="C27" s="170"/>
      <c r="D27" s="170"/>
      <c r="E27" s="170"/>
      <c r="F27" s="88">
        <f>F15+F26</f>
        <v>0</v>
      </c>
      <c r="G27" s="88">
        <f>G15+G26</f>
        <v>0</v>
      </c>
      <c r="H27" s="88">
        <f>H15+H26</f>
        <v>0</v>
      </c>
      <c r="I27" s="88">
        <f t="shared" ref="I27:J27" si="5">I15+I26</f>
        <v>0</v>
      </c>
      <c r="J27" s="88">
        <f t="shared" si="5"/>
        <v>0</v>
      </c>
    </row>
    <row r="28" spans="1:12" ht="11.25" customHeight="1" x14ac:dyDescent="0.25">
      <c r="A28" s="13"/>
      <c r="B28" s="14"/>
      <c r="C28" s="14"/>
      <c r="D28" s="14"/>
      <c r="E28" s="14"/>
      <c r="F28" s="69"/>
      <c r="G28" s="44"/>
      <c r="H28" s="45"/>
      <c r="I28" s="45"/>
      <c r="J28" s="45"/>
      <c r="K28" s="15"/>
      <c r="L28" s="15"/>
    </row>
    <row r="29" spans="1:12" x14ac:dyDescent="0.25">
      <c r="A29" s="71"/>
    </row>
  </sheetData>
  <mergeCells count="21">
    <mergeCell ref="A20:E20"/>
    <mergeCell ref="A27:E27"/>
    <mergeCell ref="A24:E24"/>
    <mergeCell ref="A25:E25"/>
    <mergeCell ref="A17:J17"/>
    <mergeCell ref="A21:E21"/>
    <mergeCell ref="A22:E22"/>
    <mergeCell ref="A26:E26"/>
    <mergeCell ref="A19:E19"/>
    <mergeCell ref="A23:E23"/>
    <mergeCell ref="A1:J1"/>
    <mergeCell ref="A3:J3"/>
    <mergeCell ref="A5:J5"/>
    <mergeCell ref="A13:E13"/>
    <mergeCell ref="A15:E15"/>
    <mergeCell ref="A12:E12"/>
    <mergeCell ref="A11:E11"/>
    <mergeCell ref="A9:E9"/>
    <mergeCell ref="A10:E10"/>
    <mergeCell ref="A7:E7"/>
    <mergeCell ref="A8:E8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85"/>
  <sheetViews>
    <sheetView tabSelected="1" workbookViewId="0">
      <selection activeCell="E84" sqref="E84"/>
    </sheetView>
  </sheetViews>
  <sheetFormatPr defaultRowHeight="14.3" x14ac:dyDescent="0.25"/>
  <cols>
    <col min="1" max="1" width="7.375" bestFit="1" customWidth="1"/>
    <col min="2" max="2" width="8.375" bestFit="1" customWidth="1"/>
    <col min="3" max="3" width="44.75" customWidth="1"/>
    <col min="4" max="5" width="19.375" style="62" customWidth="1"/>
    <col min="6" max="8" width="19.375" style="63" customWidth="1"/>
    <col min="9" max="9" width="21" hidden="1" customWidth="1"/>
    <col min="10" max="10" width="15.25" hidden="1" customWidth="1"/>
  </cols>
  <sheetData>
    <row r="1" spans="1:10" ht="18.350000000000001" x14ac:dyDescent="0.25">
      <c r="A1" s="4"/>
      <c r="B1" s="4"/>
      <c r="C1" s="4"/>
      <c r="D1" s="54"/>
      <c r="E1" s="54"/>
      <c r="F1" s="55"/>
      <c r="G1" s="55"/>
      <c r="H1" s="55"/>
      <c r="I1" s="4"/>
      <c r="J1" s="4"/>
    </row>
    <row r="2" spans="1:10" ht="15.65" customHeight="1" x14ac:dyDescent="0.25">
      <c r="A2" s="26" t="s">
        <v>16</v>
      </c>
      <c r="B2" s="26"/>
      <c r="C2" s="135" t="s">
        <v>130</v>
      </c>
      <c r="D2" s="56"/>
      <c r="E2" s="56"/>
      <c r="F2" s="57"/>
      <c r="G2" s="57"/>
      <c r="H2" s="57"/>
      <c r="I2" s="24"/>
      <c r="J2" s="24"/>
    </row>
    <row r="3" spans="1:10" ht="18.350000000000001" x14ac:dyDescent="0.25">
      <c r="A3" s="4"/>
      <c r="B3" s="4"/>
      <c r="C3" s="4"/>
      <c r="D3" s="54"/>
      <c r="E3" s="54"/>
      <c r="F3" s="55"/>
      <c r="G3" s="55"/>
      <c r="H3" s="55"/>
      <c r="I3" s="5"/>
      <c r="J3" s="5"/>
    </row>
    <row r="4" spans="1:10" ht="15.65" customHeight="1" x14ac:dyDescent="0.3">
      <c r="A4" s="26" t="s">
        <v>5</v>
      </c>
      <c r="B4" s="26"/>
      <c r="C4" s="135" t="s">
        <v>129</v>
      </c>
      <c r="D4" s="56"/>
      <c r="E4" s="56"/>
      <c r="F4" s="57"/>
      <c r="G4" s="57"/>
      <c r="H4" s="57"/>
      <c r="I4" s="23"/>
      <c r="J4" s="23"/>
    </row>
    <row r="5" spans="1:10" ht="18.350000000000001" x14ac:dyDescent="0.25">
      <c r="A5" s="4"/>
      <c r="B5" s="4"/>
      <c r="C5" s="4"/>
      <c r="D5" s="54"/>
      <c r="E5" s="54"/>
      <c r="F5" s="55"/>
      <c r="G5" s="55"/>
      <c r="H5" s="55"/>
      <c r="I5" s="5"/>
      <c r="J5" s="5"/>
    </row>
    <row r="6" spans="1:10" ht="15.65" customHeight="1" x14ac:dyDescent="0.25">
      <c r="A6" s="26" t="s">
        <v>42</v>
      </c>
      <c r="B6" s="26"/>
      <c r="C6" s="134" t="s">
        <v>128</v>
      </c>
      <c r="D6" s="56"/>
      <c r="E6" s="56"/>
      <c r="F6" s="57"/>
      <c r="G6" s="57"/>
      <c r="H6" s="57"/>
      <c r="I6" s="25"/>
      <c r="J6" s="25"/>
    </row>
    <row r="7" spans="1:10" ht="18.350000000000001" x14ac:dyDescent="0.25">
      <c r="A7" s="4"/>
      <c r="B7" s="4"/>
      <c r="C7" s="4"/>
      <c r="D7" s="54"/>
      <c r="E7" s="54"/>
      <c r="F7" s="55"/>
      <c r="G7" s="55"/>
      <c r="H7" s="55"/>
      <c r="I7" s="5"/>
      <c r="J7" s="5"/>
    </row>
    <row r="8" spans="1:10" ht="25.5" customHeight="1" x14ac:dyDescent="0.25">
      <c r="A8" s="191" t="s">
        <v>11</v>
      </c>
      <c r="B8" s="192"/>
      <c r="C8" s="193"/>
      <c r="D8" s="58" t="s">
        <v>73</v>
      </c>
      <c r="E8" s="58" t="s">
        <v>74</v>
      </c>
      <c r="F8" s="59" t="s">
        <v>75</v>
      </c>
      <c r="G8" s="59" t="s">
        <v>41</v>
      </c>
      <c r="H8" s="59" t="s">
        <v>76</v>
      </c>
    </row>
    <row r="9" spans="1:10" s="53" customFormat="1" ht="10.9" x14ac:dyDescent="0.2">
      <c r="A9" s="194">
        <v>1</v>
      </c>
      <c r="B9" s="195"/>
      <c r="C9" s="196"/>
      <c r="D9" s="60">
        <v>2</v>
      </c>
      <c r="E9" s="60">
        <v>3</v>
      </c>
      <c r="F9" s="61">
        <v>4</v>
      </c>
      <c r="G9" s="61">
        <v>5</v>
      </c>
      <c r="H9" s="61">
        <v>6</v>
      </c>
    </row>
    <row r="10" spans="1:10" x14ac:dyDescent="0.25">
      <c r="A10" s="7"/>
      <c r="B10" s="7"/>
      <c r="C10" s="7" t="s">
        <v>44</v>
      </c>
      <c r="D10" s="111">
        <f>D11</f>
        <v>8660400</v>
      </c>
      <c r="E10" s="111">
        <f t="shared" ref="E10:H11" si="0">E11</f>
        <v>7538000</v>
      </c>
      <c r="F10" s="111">
        <f t="shared" si="0"/>
        <v>10617632</v>
      </c>
      <c r="G10" s="111">
        <f t="shared" si="0"/>
        <v>9300000</v>
      </c>
      <c r="H10" s="111">
        <f t="shared" si="0"/>
        <v>9100000</v>
      </c>
    </row>
    <row r="11" spans="1:10" x14ac:dyDescent="0.25">
      <c r="A11" s="7">
        <v>6</v>
      </c>
      <c r="B11" s="7"/>
      <c r="C11" s="7" t="s">
        <v>6</v>
      </c>
      <c r="D11" s="111">
        <f>D12</f>
        <v>8660400</v>
      </c>
      <c r="E11" s="111">
        <f t="shared" si="0"/>
        <v>7538000</v>
      </c>
      <c r="F11" s="111">
        <f t="shared" si="0"/>
        <v>10617632</v>
      </c>
      <c r="G11" s="111">
        <f t="shared" si="0"/>
        <v>9300000</v>
      </c>
      <c r="H11" s="111">
        <f t="shared" si="0"/>
        <v>9100000</v>
      </c>
    </row>
    <row r="12" spans="1:10" ht="27.2" x14ac:dyDescent="0.25">
      <c r="A12" s="7"/>
      <c r="B12" s="107">
        <v>63</v>
      </c>
      <c r="C12" s="107" t="s">
        <v>20</v>
      </c>
      <c r="D12" s="112">
        <f>D13</f>
        <v>8660400</v>
      </c>
      <c r="E12" s="112">
        <f t="shared" ref="E12:H12" si="1">E13</f>
        <v>7538000</v>
      </c>
      <c r="F12" s="112">
        <f t="shared" si="1"/>
        <v>10617632</v>
      </c>
      <c r="G12" s="112">
        <f t="shared" si="1"/>
        <v>9300000</v>
      </c>
      <c r="H12" s="112">
        <f t="shared" si="1"/>
        <v>9100000</v>
      </c>
      <c r="I12" s="115"/>
    </row>
    <row r="13" spans="1:10" x14ac:dyDescent="0.25">
      <c r="A13" s="7"/>
      <c r="B13" s="10">
        <v>634</v>
      </c>
      <c r="C13" s="10" t="s">
        <v>77</v>
      </c>
      <c r="D13" s="97">
        <f>D14+D15</f>
        <v>8660400</v>
      </c>
      <c r="E13" s="97">
        <f t="shared" ref="E13" si="2">E14+E15</f>
        <v>7538000</v>
      </c>
      <c r="F13" s="97">
        <f>F14+F15</f>
        <v>10617632</v>
      </c>
      <c r="G13" s="97">
        <f>G14+G15</f>
        <v>9300000</v>
      </c>
      <c r="H13" s="97">
        <f>H14+H15</f>
        <v>9100000</v>
      </c>
    </row>
    <row r="14" spans="1:10" ht="28.55" customHeight="1" x14ac:dyDescent="0.25">
      <c r="A14" s="7"/>
      <c r="B14" s="10">
        <v>6341</v>
      </c>
      <c r="C14" s="10" t="s">
        <v>78</v>
      </c>
      <c r="D14" s="97">
        <v>8347800</v>
      </c>
      <c r="E14" s="97">
        <v>7257900</v>
      </c>
      <c r="F14" s="139">
        <v>10000132</v>
      </c>
      <c r="G14" s="139">
        <f t="shared" ref="G14:H14" si="3">G20</f>
        <v>9097220</v>
      </c>
      <c r="H14" s="139">
        <f t="shared" si="3"/>
        <v>8845340</v>
      </c>
      <c r="I14" s="115"/>
    </row>
    <row r="15" spans="1:10" ht="28.55" customHeight="1" x14ac:dyDescent="0.25">
      <c r="A15" s="7"/>
      <c r="B15" s="10">
        <v>6342</v>
      </c>
      <c r="C15" s="10" t="s">
        <v>79</v>
      </c>
      <c r="D15" s="97">
        <v>312600</v>
      </c>
      <c r="E15" s="97">
        <v>280100</v>
      </c>
      <c r="F15" s="139">
        <f>F62</f>
        <v>617500</v>
      </c>
      <c r="G15" s="139">
        <f t="shared" ref="G15:H15" si="4">G62</f>
        <v>202780</v>
      </c>
      <c r="H15" s="139">
        <f t="shared" si="4"/>
        <v>254660</v>
      </c>
      <c r="J15" s="115"/>
    </row>
    <row r="17" spans="1:11" ht="25.5" customHeight="1" x14ac:dyDescent="0.25">
      <c r="A17" s="191" t="s">
        <v>11</v>
      </c>
      <c r="B17" s="192"/>
      <c r="C17" s="193"/>
      <c r="D17" s="58" t="s">
        <v>73</v>
      </c>
      <c r="E17" s="58" t="s">
        <v>74</v>
      </c>
      <c r="F17" s="59" t="s">
        <v>75</v>
      </c>
      <c r="G17" s="59" t="s">
        <v>41</v>
      </c>
      <c r="H17" s="59" t="s">
        <v>76</v>
      </c>
    </row>
    <row r="18" spans="1:11" s="53" customFormat="1" ht="10.9" x14ac:dyDescent="0.2">
      <c r="A18" s="194">
        <v>1</v>
      </c>
      <c r="B18" s="195"/>
      <c r="C18" s="196"/>
      <c r="D18" s="60">
        <v>2</v>
      </c>
      <c r="E18" s="60">
        <v>3</v>
      </c>
      <c r="F18" s="61">
        <v>4</v>
      </c>
      <c r="G18" s="61">
        <v>5</v>
      </c>
      <c r="H18" s="61">
        <v>6</v>
      </c>
    </row>
    <row r="19" spans="1:11" x14ac:dyDescent="0.25">
      <c r="A19" s="7"/>
      <c r="B19" s="7"/>
      <c r="C19" s="7" t="s">
        <v>45</v>
      </c>
      <c r="D19" s="111">
        <f>D20+D62</f>
        <v>7031463.5999999996</v>
      </c>
      <c r="E19" s="111">
        <f>E20+E62</f>
        <v>7538000</v>
      </c>
      <c r="F19" s="111">
        <f>F20+F62</f>
        <v>11965000</v>
      </c>
      <c r="G19" s="111">
        <f>G20+G62</f>
        <v>9300000</v>
      </c>
      <c r="H19" s="111">
        <f>H20+H62</f>
        <v>9100000</v>
      </c>
      <c r="I19" s="138"/>
    </row>
    <row r="20" spans="1:11" x14ac:dyDescent="0.25">
      <c r="A20" s="7">
        <v>3</v>
      </c>
      <c r="B20" s="7"/>
      <c r="C20" s="7" t="s">
        <v>7</v>
      </c>
      <c r="D20" s="111">
        <f>D21+D30+D59</f>
        <v>6911621.7199999997</v>
      </c>
      <c r="E20" s="111">
        <f>E21+E30+E59</f>
        <v>7257900</v>
      </c>
      <c r="F20" s="111">
        <f>F21+F30+F59</f>
        <v>11347500</v>
      </c>
      <c r="G20" s="111">
        <f>G21+G30+G59</f>
        <v>9097220</v>
      </c>
      <c r="H20" s="111">
        <f>H21+H30+H59</f>
        <v>8845340</v>
      </c>
      <c r="I20" s="138"/>
      <c r="K20" s="37"/>
    </row>
    <row r="21" spans="1:11" x14ac:dyDescent="0.25">
      <c r="A21" s="7"/>
      <c r="B21" s="107" t="s">
        <v>61</v>
      </c>
      <c r="C21" s="107" t="s">
        <v>8</v>
      </c>
      <c r="D21" s="112">
        <f>D22+D26+D28</f>
        <v>1057539.01</v>
      </c>
      <c r="E21" s="112">
        <f t="shared" ref="E21:H21" si="5">E22+E26+E28</f>
        <v>1801200</v>
      </c>
      <c r="F21" s="112">
        <f>F22+F26+F28</f>
        <v>2109780</v>
      </c>
      <c r="G21" s="112">
        <f t="shared" si="5"/>
        <v>2122580</v>
      </c>
      <c r="H21" s="112">
        <f t="shared" si="5"/>
        <v>2358560</v>
      </c>
      <c r="I21" s="150">
        <f>F21/F19</f>
        <v>0.17632929377350606</v>
      </c>
      <c r="J21" s="158">
        <f>F21-E21</f>
        <v>308580</v>
      </c>
    </row>
    <row r="22" spans="1:11" x14ac:dyDescent="0.25">
      <c r="A22" s="7"/>
      <c r="B22" s="98">
        <v>311</v>
      </c>
      <c r="C22" s="92" t="s">
        <v>80</v>
      </c>
      <c r="D22" s="97">
        <f>D23+D24+D25</f>
        <v>865195.54</v>
      </c>
      <c r="E22" s="97">
        <f t="shared" ref="E22:H22" si="6">E23+E24+E25</f>
        <v>1468000</v>
      </c>
      <c r="F22" s="97">
        <f t="shared" si="6"/>
        <v>1732000</v>
      </c>
      <c r="G22" s="97">
        <f t="shared" si="6"/>
        <v>1740000</v>
      </c>
      <c r="H22" s="97">
        <f t="shared" si="6"/>
        <v>1931150</v>
      </c>
      <c r="I22" s="150"/>
    </row>
    <row r="23" spans="1:11" x14ac:dyDescent="0.25">
      <c r="A23" s="7"/>
      <c r="B23" s="99">
        <v>3111</v>
      </c>
      <c r="C23" s="93" t="s">
        <v>81</v>
      </c>
      <c r="D23" s="97">
        <v>842155.06</v>
      </c>
      <c r="E23" s="97">
        <v>1443200</v>
      </c>
      <c r="F23" s="127">
        <v>1707200</v>
      </c>
      <c r="G23" s="127">
        <f>1859800*0.88-4+20+98040-16830</f>
        <v>1717850</v>
      </c>
      <c r="H23" s="127">
        <f>2007000*0.95</f>
        <v>1906650</v>
      </c>
      <c r="I23" s="151"/>
      <c r="J23" s="37"/>
    </row>
    <row r="24" spans="1:11" x14ac:dyDescent="0.25">
      <c r="A24" s="7"/>
      <c r="B24" s="99">
        <v>3113</v>
      </c>
      <c r="C24" s="93" t="s">
        <v>82</v>
      </c>
      <c r="D24" s="97">
        <v>1302.8699999999999</v>
      </c>
      <c r="E24" s="97">
        <v>1000</v>
      </c>
      <c r="F24" s="127">
        <v>1000</v>
      </c>
      <c r="G24" s="127">
        <f>1200*0.88-6</f>
        <v>1050</v>
      </c>
      <c r="H24" s="127">
        <f>1300*0.95-5-30</f>
        <v>1200</v>
      </c>
      <c r="I24" s="151"/>
      <c r="J24" s="37"/>
    </row>
    <row r="25" spans="1:11" x14ac:dyDescent="0.25">
      <c r="A25" s="7"/>
      <c r="B25" s="100">
        <v>3114</v>
      </c>
      <c r="C25" s="96" t="s">
        <v>83</v>
      </c>
      <c r="D25" s="97">
        <v>21737.61</v>
      </c>
      <c r="E25" s="97">
        <v>23800</v>
      </c>
      <c r="F25" s="127">
        <v>23800</v>
      </c>
      <c r="G25" s="127">
        <f>24000*0.88-20</f>
        <v>21100</v>
      </c>
      <c r="H25" s="127">
        <f>24500*0.95-5+30</f>
        <v>23300</v>
      </c>
      <c r="I25" s="151"/>
      <c r="J25" s="37"/>
    </row>
    <row r="26" spans="1:11" x14ac:dyDescent="0.25">
      <c r="A26" s="7"/>
      <c r="B26" s="98">
        <v>312</v>
      </c>
      <c r="C26" s="95" t="s">
        <v>84</v>
      </c>
      <c r="D26" s="97">
        <f>D27</f>
        <v>49588.5</v>
      </c>
      <c r="E26" s="97">
        <f t="shared" ref="E26:H26" si="7">E27</f>
        <v>91000</v>
      </c>
      <c r="F26" s="127">
        <f t="shared" si="7"/>
        <v>92000</v>
      </c>
      <c r="G26" s="97">
        <f t="shared" si="7"/>
        <v>95480</v>
      </c>
      <c r="H26" s="97">
        <f t="shared" si="7"/>
        <v>108770</v>
      </c>
      <c r="I26" s="151"/>
      <c r="J26" s="37"/>
    </row>
    <row r="27" spans="1:11" x14ac:dyDescent="0.25">
      <c r="A27" s="7"/>
      <c r="B27" s="98">
        <v>3121</v>
      </c>
      <c r="C27" s="93" t="s">
        <v>84</v>
      </c>
      <c r="D27" s="97">
        <v>49588.5</v>
      </c>
      <c r="E27" s="97">
        <v>91000</v>
      </c>
      <c r="F27" s="127">
        <v>92000</v>
      </c>
      <c r="G27" s="127">
        <f>108500*0.88</f>
        <v>95480</v>
      </c>
      <c r="H27" s="127">
        <f>114500*0.95-5</f>
        <v>108770</v>
      </c>
      <c r="I27" s="151"/>
      <c r="J27" s="37"/>
    </row>
    <row r="28" spans="1:11" x14ac:dyDescent="0.25">
      <c r="A28" s="7"/>
      <c r="B28" s="98">
        <v>313</v>
      </c>
      <c r="C28" s="92" t="s">
        <v>85</v>
      </c>
      <c r="D28" s="97">
        <f>D29</f>
        <v>142754.97</v>
      </c>
      <c r="E28" s="97">
        <f t="shared" ref="E28:H28" si="8">E29</f>
        <v>242200</v>
      </c>
      <c r="F28" s="127">
        <f t="shared" si="8"/>
        <v>285780</v>
      </c>
      <c r="G28" s="127">
        <f t="shared" si="8"/>
        <v>287100</v>
      </c>
      <c r="H28" s="97">
        <f t="shared" si="8"/>
        <v>318640</v>
      </c>
      <c r="I28" s="151"/>
      <c r="J28" s="37"/>
    </row>
    <row r="29" spans="1:11" x14ac:dyDescent="0.25">
      <c r="A29" s="7"/>
      <c r="B29" s="98">
        <v>3132</v>
      </c>
      <c r="C29" s="94" t="s">
        <v>86</v>
      </c>
      <c r="D29" s="97">
        <v>142754.97</v>
      </c>
      <c r="E29" s="97">
        <v>242200</v>
      </c>
      <c r="F29" s="127">
        <f>F22*16.5/100</f>
        <v>285780</v>
      </c>
      <c r="G29" s="127">
        <f>G22*16.5/100</f>
        <v>287100</v>
      </c>
      <c r="H29" s="127">
        <v>318640</v>
      </c>
      <c r="I29" s="156"/>
      <c r="J29" s="37"/>
    </row>
    <row r="30" spans="1:11" x14ac:dyDescent="0.25">
      <c r="A30" s="8"/>
      <c r="B30" s="108" t="s">
        <v>62</v>
      </c>
      <c r="C30" s="108" t="s">
        <v>17</v>
      </c>
      <c r="D30" s="112">
        <f>D31+D35+D42+D52</f>
        <v>5848598.71</v>
      </c>
      <c r="E30" s="112">
        <f t="shared" ref="E30:H30" si="9">E31+E35+E42+E52</f>
        <v>5456700</v>
      </c>
      <c r="F30" s="148">
        <f t="shared" si="9"/>
        <v>9237720</v>
      </c>
      <c r="G30" s="112">
        <f t="shared" si="9"/>
        <v>6974640</v>
      </c>
      <c r="H30" s="155">
        <f t="shared" si="9"/>
        <v>6486780</v>
      </c>
      <c r="I30" s="157">
        <f>F30/F19</f>
        <v>0.77206184705390724</v>
      </c>
      <c r="J30" s="37"/>
    </row>
    <row r="31" spans="1:11" x14ac:dyDescent="0.25">
      <c r="A31" s="8"/>
      <c r="B31" s="8">
        <v>321</v>
      </c>
      <c r="C31" s="104" t="s">
        <v>101</v>
      </c>
      <c r="D31" s="97">
        <f>D32+D33+D34</f>
        <v>89994.62</v>
      </c>
      <c r="E31" s="97">
        <f t="shared" ref="E31:H31" si="10">E32+E33+E34</f>
        <v>143000</v>
      </c>
      <c r="F31" s="127">
        <f t="shared" si="10"/>
        <v>140000</v>
      </c>
      <c r="G31" s="127">
        <f t="shared" si="10"/>
        <v>131890</v>
      </c>
      <c r="H31" s="127">
        <f t="shared" si="10"/>
        <v>147000</v>
      </c>
      <c r="I31" s="156"/>
      <c r="J31" s="37"/>
    </row>
    <row r="32" spans="1:11" x14ac:dyDescent="0.25">
      <c r="A32" s="8"/>
      <c r="B32" s="8">
        <v>3211</v>
      </c>
      <c r="C32" s="105" t="s">
        <v>102</v>
      </c>
      <c r="D32" s="97">
        <v>27356.639999999999</v>
      </c>
      <c r="E32" s="97">
        <v>65000</v>
      </c>
      <c r="F32" s="127">
        <v>60000</v>
      </c>
      <c r="G32" s="127">
        <f>67000*0.88+430</f>
        <v>59390</v>
      </c>
      <c r="H32" s="127">
        <f>70000*0.95</f>
        <v>66500</v>
      </c>
      <c r="J32" s="37"/>
    </row>
    <row r="33" spans="1:10" x14ac:dyDescent="0.25">
      <c r="A33" s="8"/>
      <c r="B33" s="8">
        <v>3212</v>
      </c>
      <c r="C33" s="103" t="s">
        <v>103</v>
      </c>
      <c r="D33" s="97">
        <v>53053.79</v>
      </c>
      <c r="E33" s="97">
        <v>58000</v>
      </c>
      <c r="F33" s="127">
        <v>60000</v>
      </c>
      <c r="G33" s="127">
        <f>62400*0.88-12</f>
        <v>54900</v>
      </c>
      <c r="H33" s="127">
        <f>64700*0.95+15+20</f>
        <v>61500</v>
      </c>
      <c r="J33" s="37"/>
    </row>
    <row r="34" spans="1:10" x14ac:dyDescent="0.25">
      <c r="A34" s="8"/>
      <c r="B34" s="8">
        <v>3213</v>
      </c>
      <c r="C34" s="105" t="s">
        <v>104</v>
      </c>
      <c r="D34" s="97">
        <v>9584.19</v>
      </c>
      <c r="E34" s="97">
        <v>20000</v>
      </c>
      <c r="F34" s="127">
        <v>20000</v>
      </c>
      <c r="G34" s="127">
        <f>20000*0.88</f>
        <v>17600</v>
      </c>
      <c r="H34" s="127">
        <f>20000*0.95</f>
        <v>19000</v>
      </c>
      <c r="J34" s="37"/>
    </row>
    <row r="35" spans="1:10" x14ac:dyDescent="0.25">
      <c r="A35" s="8"/>
      <c r="B35" s="8">
        <v>322</v>
      </c>
      <c r="C35" s="106" t="s">
        <v>105</v>
      </c>
      <c r="D35" s="97">
        <f>D36+D37+D38+D39+D40+D41</f>
        <v>334804.22000000003</v>
      </c>
      <c r="E35" s="97">
        <f t="shared" ref="E35:G35" si="11">E36+E37+E38+E39+E40+E41</f>
        <v>604000</v>
      </c>
      <c r="F35" s="127">
        <f t="shared" si="11"/>
        <v>615000</v>
      </c>
      <c r="G35" s="127">
        <f t="shared" si="11"/>
        <v>582200</v>
      </c>
      <c r="H35" s="97">
        <f>H36+H37+H38+H39+H40+H41</f>
        <v>718200</v>
      </c>
      <c r="J35" s="37"/>
    </row>
    <row r="36" spans="1:10" x14ac:dyDescent="0.25">
      <c r="A36" s="8"/>
      <c r="B36" s="8">
        <v>3221</v>
      </c>
      <c r="C36" s="105" t="s">
        <v>106</v>
      </c>
      <c r="D36" s="97">
        <v>10598.67</v>
      </c>
      <c r="E36" s="97">
        <v>13000</v>
      </c>
      <c r="F36" s="127">
        <f>15000-2000</f>
        <v>13000</v>
      </c>
      <c r="G36" s="127">
        <f>15000*0.88</f>
        <v>13200</v>
      </c>
      <c r="H36" s="127">
        <f>15000*0.95</f>
        <v>14250</v>
      </c>
    </row>
    <row r="37" spans="1:10" x14ac:dyDescent="0.25">
      <c r="A37" s="8"/>
      <c r="B37" s="8">
        <v>3222</v>
      </c>
      <c r="C37" s="105" t="s">
        <v>107</v>
      </c>
      <c r="D37" s="97">
        <v>100097.32</v>
      </c>
      <c r="E37" s="97">
        <v>100000</v>
      </c>
      <c r="F37" s="127">
        <v>120000</v>
      </c>
      <c r="G37" s="127">
        <f>140000*0.88</f>
        <v>123200</v>
      </c>
      <c r="H37" s="127">
        <f>150000*0.95</f>
        <v>142500</v>
      </c>
    </row>
    <row r="38" spans="1:10" x14ac:dyDescent="0.25">
      <c r="A38" s="8"/>
      <c r="B38" s="8">
        <v>3223</v>
      </c>
      <c r="C38" s="105" t="s">
        <v>108</v>
      </c>
      <c r="D38" s="97">
        <v>178453.92</v>
      </c>
      <c r="E38" s="97">
        <v>200000</v>
      </c>
      <c r="F38" s="127">
        <v>200000</v>
      </c>
      <c r="G38" s="127">
        <f>230000*0.88</f>
        <v>202400</v>
      </c>
      <c r="H38" s="127">
        <f>230000*0.95</f>
        <v>218500</v>
      </c>
    </row>
    <row r="39" spans="1:10" x14ac:dyDescent="0.25">
      <c r="A39" s="8"/>
      <c r="B39" s="8">
        <v>3224</v>
      </c>
      <c r="C39" s="103" t="s">
        <v>109</v>
      </c>
      <c r="D39" s="97">
        <v>43954.67</v>
      </c>
      <c r="E39" s="97">
        <v>260000</v>
      </c>
      <c r="F39" s="127">
        <v>260000</v>
      </c>
      <c r="G39" s="127">
        <f>300000*0.88-50000+3000</f>
        <v>217000</v>
      </c>
      <c r="H39" s="127">
        <f>330000*0.95</f>
        <v>313500</v>
      </c>
    </row>
    <row r="40" spans="1:10" x14ac:dyDescent="0.25">
      <c r="A40" s="8"/>
      <c r="B40" s="8">
        <v>3225</v>
      </c>
      <c r="C40" s="105" t="s">
        <v>110</v>
      </c>
      <c r="D40" s="97">
        <v>1699.64</v>
      </c>
      <c r="E40" s="97">
        <v>2000</v>
      </c>
      <c r="F40" s="127">
        <v>2000</v>
      </c>
      <c r="G40" s="127">
        <f>2000*0.88</f>
        <v>1760</v>
      </c>
      <c r="H40" s="127">
        <f>2000*0.95</f>
        <v>1900</v>
      </c>
    </row>
    <row r="41" spans="1:10" x14ac:dyDescent="0.25">
      <c r="A41" s="8"/>
      <c r="B41" s="8">
        <v>3227</v>
      </c>
      <c r="C41" s="105" t="s">
        <v>111</v>
      </c>
      <c r="D41" s="97">
        <v>0</v>
      </c>
      <c r="E41" s="97">
        <v>29000</v>
      </c>
      <c r="F41" s="127">
        <v>20000</v>
      </c>
      <c r="G41" s="127">
        <f>28000*0.88</f>
        <v>24640</v>
      </c>
      <c r="H41" s="127">
        <f>29000*0.95+20-20</f>
        <v>27550</v>
      </c>
      <c r="J41" s="37"/>
    </row>
    <row r="42" spans="1:10" x14ac:dyDescent="0.25">
      <c r="A42" s="8"/>
      <c r="B42" s="8">
        <v>323</v>
      </c>
      <c r="C42" s="106" t="s">
        <v>112</v>
      </c>
      <c r="D42" s="97">
        <f>D43+D44+D45+D46+D47+D48+D49+D50+D51</f>
        <v>5377915.8399999999</v>
      </c>
      <c r="E42" s="97">
        <f t="shared" ref="E42:H42" si="12">E43+E44+E45+E46+E47+E48+E49+E50+E51</f>
        <v>4637400</v>
      </c>
      <c r="F42" s="127">
        <f t="shared" si="12"/>
        <v>8414200</v>
      </c>
      <c r="G42" s="127">
        <f t="shared" si="12"/>
        <v>6195760</v>
      </c>
      <c r="H42" s="97">
        <f t="shared" si="12"/>
        <v>5552500</v>
      </c>
      <c r="J42" s="37"/>
    </row>
    <row r="43" spans="1:10" x14ac:dyDescent="0.25">
      <c r="A43" s="8"/>
      <c r="B43" s="8">
        <v>3231</v>
      </c>
      <c r="C43" s="101" t="s">
        <v>113</v>
      </c>
      <c r="D43" s="97">
        <v>8991.68</v>
      </c>
      <c r="E43" s="97">
        <v>29100</v>
      </c>
      <c r="F43" s="127">
        <f>30000-900</f>
        <v>29100</v>
      </c>
      <c r="G43" s="127">
        <f>35000*0.88</f>
        <v>30800</v>
      </c>
      <c r="H43" s="127">
        <f>35000*0.95-3000+50</f>
        <v>30300</v>
      </c>
      <c r="J43" s="37"/>
    </row>
    <row r="44" spans="1:10" x14ac:dyDescent="0.25">
      <c r="A44" s="8"/>
      <c r="B44" s="8">
        <v>3232</v>
      </c>
      <c r="C44" s="105" t="s">
        <v>114</v>
      </c>
      <c r="D44" s="97">
        <v>236238.19</v>
      </c>
      <c r="E44" s="97">
        <v>400000</v>
      </c>
      <c r="F44" s="127">
        <f>400000</f>
        <v>400000</v>
      </c>
      <c r="G44" s="127">
        <f>(400000+1500-6000)*0.88-48040</f>
        <v>300000</v>
      </c>
      <c r="H44" s="127">
        <f>(400000+1500-6000)*0.95-5-20</f>
        <v>375700</v>
      </c>
      <c r="I44" s="152">
        <f>F44/F30</f>
        <v>4.330072788523575E-2</v>
      </c>
      <c r="J44" s="37"/>
    </row>
    <row r="45" spans="1:10" x14ac:dyDescent="0.25">
      <c r="A45" s="8"/>
      <c r="B45" s="8">
        <v>3233</v>
      </c>
      <c r="C45" s="105" t="s">
        <v>115</v>
      </c>
      <c r="D45" s="97">
        <v>0</v>
      </c>
      <c r="E45" s="97">
        <v>3500</v>
      </c>
      <c r="F45" s="127">
        <f>5000-1500</f>
        <v>3500</v>
      </c>
      <c r="G45" s="127">
        <f>18000*0.88-40</f>
        <v>15800</v>
      </c>
      <c r="H45" s="127">
        <f>19000*0.95-50</f>
        <v>18000</v>
      </c>
      <c r="I45" s="164"/>
      <c r="J45" s="37"/>
    </row>
    <row r="46" spans="1:10" x14ac:dyDescent="0.25">
      <c r="A46" s="8"/>
      <c r="B46" s="8">
        <v>3234</v>
      </c>
      <c r="C46" s="101" t="s">
        <v>116</v>
      </c>
      <c r="D46" s="97">
        <v>8977.66</v>
      </c>
      <c r="E46" s="97">
        <v>13700</v>
      </c>
      <c r="F46" s="127">
        <f>14000-300</f>
        <v>13700</v>
      </c>
      <c r="G46" s="127">
        <f>14000*0.88+40</f>
        <v>12360</v>
      </c>
      <c r="H46" s="127">
        <f>14000*0.95</f>
        <v>13300</v>
      </c>
      <c r="I46" s="153"/>
      <c r="J46" s="37"/>
    </row>
    <row r="47" spans="1:10" x14ac:dyDescent="0.25">
      <c r="A47" s="8"/>
      <c r="B47" s="8">
        <v>3235</v>
      </c>
      <c r="C47" s="105" t="s">
        <v>117</v>
      </c>
      <c r="D47" s="97">
        <v>87037.02</v>
      </c>
      <c r="E47" s="97">
        <v>120000</v>
      </c>
      <c r="F47" s="127">
        <f>200000-6000-8870-130</f>
        <v>185000</v>
      </c>
      <c r="G47" s="127">
        <f>186000*0.88-674-6</f>
        <v>163000</v>
      </c>
      <c r="H47" s="127">
        <f>186000*0.95</f>
        <v>176700</v>
      </c>
      <c r="I47" s="152">
        <f>F47/F30</f>
        <v>2.0026586646921536E-2</v>
      </c>
      <c r="J47" s="165">
        <f>F47-E47</f>
        <v>65000</v>
      </c>
    </row>
    <row r="48" spans="1:10" x14ac:dyDescent="0.25">
      <c r="A48" s="8"/>
      <c r="B48" s="8">
        <v>3236</v>
      </c>
      <c r="C48" s="101" t="s">
        <v>118</v>
      </c>
      <c r="D48" s="97">
        <v>326.24</v>
      </c>
      <c r="E48" s="97">
        <v>30900</v>
      </c>
      <c r="F48" s="127">
        <f>31000-100</f>
        <v>30900</v>
      </c>
      <c r="G48" s="127">
        <f>36000*0.88-80</f>
        <v>31600</v>
      </c>
      <c r="H48" s="127">
        <f>36000*0.95-1200</f>
        <v>33000</v>
      </c>
      <c r="I48" s="153"/>
      <c r="J48" s="37"/>
    </row>
    <row r="49" spans="1:10" x14ac:dyDescent="0.25">
      <c r="A49" s="8"/>
      <c r="B49" s="8">
        <v>3237</v>
      </c>
      <c r="C49" s="105" t="s">
        <v>119</v>
      </c>
      <c r="D49" s="97">
        <v>137464.78</v>
      </c>
      <c r="E49" s="97">
        <v>125000</v>
      </c>
      <c r="F49" s="127">
        <v>125000</v>
      </c>
      <c r="G49" s="127">
        <f>130000*0.88</f>
        <v>114400</v>
      </c>
      <c r="H49" s="127">
        <f>130000*0.95</f>
        <v>123500</v>
      </c>
      <c r="I49" s="153"/>
      <c r="J49" s="37"/>
    </row>
    <row r="50" spans="1:10" x14ac:dyDescent="0.25">
      <c r="A50" s="8"/>
      <c r="B50" s="8">
        <v>3238</v>
      </c>
      <c r="C50" s="101" t="s">
        <v>120</v>
      </c>
      <c r="D50" s="97">
        <v>74406.77</v>
      </c>
      <c r="E50" s="97">
        <v>57000</v>
      </c>
      <c r="F50" s="127">
        <f>48130+8870</f>
        <v>57000</v>
      </c>
      <c r="G50" s="127">
        <f>60000*0.88</f>
        <v>52800</v>
      </c>
      <c r="H50" s="127">
        <f>60000*0.95</f>
        <v>57000</v>
      </c>
      <c r="I50" s="153"/>
      <c r="J50" s="37"/>
    </row>
    <row r="51" spans="1:10" x14ac:dyDescent="0.25">
      <c r="A51" s="8"/>
      <c r="B51" s="8">
        <v>3239</v>
      </c>
      <c r="C51" s="105" t="s">
        <v>121</v>
      </c>
      <c r="D51" s="97">
        <v>4824473.5</v>
      </c>
      <c r="E51" s="97">
        <v>3858200</v>
      </c>
      <c r="F51" s="127">
        <v>7570000</v>
      </c>
      <c r="G51" s="127">
        <v>5475000</v>
      </c>
      <c r="H51" s="127">
        <v>4725000</v>
      </c>
      <c r="I51" s="154">
        <f>F51/F30</f>
        <v>0.81946627522808657</v>
      </c>
      <c r="J51" s="37"/>
    </row>
    <row r="52" spans="1:10" x14ac:dyDescent="0.25">
      <c r="A52" s="8"/>
      <c r="B52" s="8">
        <v>329</v>
      </c>
      <c r="C52" s="104" t="s">
        <v>122</v>
      </c>
      <c r="D52" s="97">
        <f>D53+D54+D55+D56+D57+D58</f>
        <v>45884.03</v>
      </c>
      <c r="E52" s="97">
        <f t="shared" ref="E52:H52" si="13">E53+E54+E55+E56+E57+E58</f>
        <v>72300</v>
      </c>
      <c r="F52" s="127">
        <f t="shared" si="13"/>
        <v>68520</v>
      </c>
      <c r="G52" s="127">
        <f t="shared" si="13"/>
        <v>64790</v>
      </c>
      <c r="H52" s="97">
        <f t="shared" si="13"/>
        <v>69080</v>
      </c>
      <c r="J52" s="37"/>
    </row>
    <row r="53" spans="1:10" ht="26.5" x14ac:dyDescent="0.25">
      <c r="A53" s="8"/>
      <c r="B53" s="8">
        <v>3291</v>
      </c>
      <c r="C53" s="103" t="s">
        <v>123</v>
      </c>
      <c r="D53" s="97">
        <v>24848.75</v>
      </c>
      <c r="E53" s="97">
        <v>25000</v>
      </c>
      <c r="F53" s="127">
        <v>25000</v>
      </c>
      <c r="G53" s="127">
        <f>25000*0.88</f>
        <v>22000</v>
      </c>
      <c r="H53" s="127">
        <f>25000*0.95</f>
        <v>23750</v>
      </c>
      <c r="J53" s="37"/>
    </row>
    <row r="54" spans="1:10" x14ac:dyDescent="0.25">
      <c r="A54" s="8"/>
      <c r="B54" s="8">
        <v>3292</v>
      </c>
      <c r="C54" s="101" t="s">
        <v>124</v>
      </c>
      <c r="D54" s="97">
        <v>4170.5200000000004</v>
      </c>
      <c r="E54" s="97">
        <v>26000</v>
      </c>
      <c r="F54" s="127">
        <f>16000+2000+900+1500+1000+300+1000+200+100+130-910</f>
        <v>22220</v>
      </c>
      <c r="G54" s="127">
        <f>26000*0.88+18+12+80</f>
        <v>22990</v>
      </c>
      <c r="H54" s="127">
        <f>26000*0.95</f>
        <v>24700</v>
      </c>
      <c r="J54" s="37"/>
    </row>
    <row r="55" spans="1:10" x14ac:dyDescent="0.25">
      <c r="A55" s="8"/>
      <c r="B55" s="8">
        <v>3293</v>
      </c>
      <c r="C55" s="105" t="s">
        <v>125</v>
      </c>
      <c r="D55" s="97">
        <v>5071.05</v>
      </c>
      <c r="E55" s="97">
        <v>5000</v>
      </c>
      <c r="F55" s="127">
        <v>5000</v>
      </c>
      <c r="G55" s="127">
        <f>5000*0.88</f>
        <v>4400</v>
      </c>
      <c r="H55" s="127">
        <f>5000*0.95</f>
        <v>4750</v>
      </c>
      <c r="J55" s="37"/>
    </row>
    <row r="56" spans="1:10" x14ac:dyDescent="0.25">
      <c r="A56" s="8"/>
      <c r="B56" s="8">
        <v>3294</v>
      </c>
      <c r="C56" s="101" t="s">
        <v>126</v>
      </c>
      <c r="D56" s="97">
        <v>927.37</v>
      </c>
      <c r="E56" s="97">
        <v>1000</v>
      </c>
      <c r="F56" s="127">
        <f>2000-1000</f>
        <v>1000</v>
      </c>
      <c r="G56" s="127">
        <f>2000*0.88</f>
        <v>1760</v>
      </c>
      <c r="H56" s="127">
        <f>2000*0.95</f>
        <v>1900</v>
      </c>
      <c r="J56" s="37"/>
    </row>
    <row r="57" spans="1:10" x14ac:dyDescent="0.25">
      <c r="A57" s="8"/>
      <c r="B57" s="8">
        <v>3295</v>
      </c>
      <c r="C57" s="105" t="s">
        <v>127</v>
      </c>
      <c r="D57" s="97">
        <v>10237.200000000001</v>
      </c>
      <c r="E57" s="97">
        <v>15000</v>
      </c>
      <c r="F57" s="127">
        <v>15000</v>
      </c>
      <c r="G57" s="127">
        <f>15000*0.88</f>
        <v>13200</v>
      </c>
      <c r="H57" s="127">
        <f>15000*0.95-750</f>
        <v>13500</v>
      </c>
      <c r="J57" s="37"/>
    </row>
    <row r="58" spans="1:10" x14ac:dyDescent="0.25">
      <c r="A58" s="8"/>
      <c r="B58" s="8">
        <v>3299</v>
      </c>
      <c r="C58" s="101" t="s">
        <v>122</v>
      </c>
      <c r="D58" s="97">
        <v>629.14</v>
      </c>
      <c r="E58" s="97">
        <v>300</v>
      </c>
      <c r="F58" s="127">
        <f>500-200</f>
        <v>300</v>
      </c>
      <c r="G58" s="127">
        <f>500*0.88</f>
        <v>440</v>
      </c>
      <c r="H58" s="127">
        <f>500*0.95-5+10</f>
        <v>480</v>
      </c>
      <c r="J58" s="37"/>
    </row>
    <row r="59" spans="1:10" ht="27.2" x14ac:dyDescent="0.25">
      <c r="A59" s="8"/>
      <c r="B59" s="108">
        <v>37</v>
      </c>
      <c r="C59" s="110" t="s">
        <v>63</v>
      </c>
      <c r="D59" s="112">
        <f>D60</f>
        <v>5484</v>
      </c>
      <c r="E59" s="112">
        <f t="shared" ref="E59:H60" si="14">E60</f>
        <v>0</v>
      </c>
      <c r="F59" s="148">
        <f t="shared" si="14"/>
        <v>0</v>
      </c>
      <c r="G59" s="148">
        <f t="shared" si="14"/>
        <v>0</v>
      </c>
      <c r="H59" s="112">
        <f t="shared" si="14"/>
        <v>0</v>
      </c>
      <c r="J59" s="37"/>
    </row>
    <row r="60" spans="1:10" ht="26.5" x14ac:dyDescent="0.25">
      <c r="A60" s="8"/>
      <c r="B60" s="8">
        <v>372</v>
      </c>
      <c r="C60" s="103" t="s">
        <v>99</v>
      </c>
      <c r="D60" s="97">
        <f>D61</f>
        <v>5484</v>
      </c>
      <c r="E60" s="97">
        <f t="shared" si="14"/>
        <v>0</v>
      </c>
      <c r="F60" s="127">
        <f t="shared" si="14"/>
        <v>0</v>
      </c>
      <c r="G60" s="127">
        <f t="shared" si="14"/>
        <v>0</v>
      </c>
      <c r="H60" s="97">
        <f t="shared" si="14"/>
        <v>0</v>
      </c>
      <c r="J60" s="37"/>
    </row>
    <row r="61" spans="1:10" x14ac:dyDescent="0.25">
      <c r="A61" s="8"/>
      <c r="B61" s="8">
        <v>3721</v>
      </c>
      <c r="C61" s="101" t="s">
        <v>100</v>
      </c>
      <c r="D61" s="97">
        <v>5484</v>
      </c>
      <c r="E61" s="97">
        <v>0</v>
      </c>
      <c r="F61" s="127">
        <v>0</v>
      </c>
      <c r="G61" s="127">
        <v>0</v>
      </c>
      <c r="H61" s="127">
        <v>0</v>
      </c>
      <c r="J61" s="37"/>
    </row>
    <row r="62" spans="1:10" x14ac:dyDescent="0.25">
      <c r="A62" s="9">
        <v>4</v>
      </c>
      <c r="B62" s="9"/>
      <c r="C62" s="16" t="s">
        <v>9</v>
      </c>
      <c r="D62" s="111">
        <f>D63+D66</f>
        <v>119841.88</v>
      </c>
      <c r="E62" s="111">
        <f t="shared" ref="E62:H62" si="15">E63+E66</f>
        <v>280100</v>
      </c>
      <c r="F62" s="149">
        <f t="shared" si="15"/>
        <v>617500</v>
      </c>
      <c r="G62" s="149">
        <f t="shared" si="15"/>
        <v>202780</v>
      </c>
      <c r="H62" s="111">
        <f t="shared" si="15"/>
        <v>254660</v>
      </c>
      <c r="J62" s="115"/>
    </row>
    <row r="63" spans="1:10" ht="27.2" x14ac:dyDescent="0.25">
      <c r="A63" s="10"/>
      <c r="B63" s="107" t="s">
        <v>64</v>
      </c>
      <c r="C63" s="109" t="s">
        <v>10</v>
      </c>
      <c r="D63" s="112">
        <f>D64</f>
        <v>6056.38</v>
      </c>
      <c r="E63" s="112">
        <f t="shared" ref="E63:H64" si="16">E64</f>
        <v>561</v>
      </c>
      <c r="F63" s="148">
        <f t="shared" si="16"/>
        <v>0</v>
      </c>
      <c r="G63" s="148">
        <f t="shared" si="16"/>
        <v>0</v>
      </c>
      <c r="H63" s="112">
        <f t="shared" si="16"/>
        <v>0</v>
      </c>
      <c r="J63" s="115"/>
    </row>
    <row r="64" spans="1:10" x14ac:dyDescent="0.25">
      <c r="A64" s="10"/>
      <c r="B64" s="10">
        <v>412</v>
      </c>
      <c r="C64" s="102" t="s">
        <v>97</v>
      </c>
      <c r="D64" s="113">
        <f>D65</f>
        <v>6056.38</v>
      </c>
      <c r="E64" s="113">
        <f t="shared" si="16"/>
        <v>561</v>
      </c>
      <c r="F64" s="140">
        <f t="shared" si="16"/>
        <v>0</v>
      </c>
      <c r="G64" s="140">
        <f t="shared" si="16"/>
        <v>0</v>
      </c>
      <c r="H64" s="113">
        <f t="shared" si="16"/>
        <v>0</v>
      </c>
      <c r="J64" s="115"/>
    </row>
    <row r="65" spans="1:10" x14ac:dyDescent="0.25">
      <c r="A65" s="10"/>
      <c r="B65" s="10">
        <v>4123</v>
      </c>
      <c r="C65" s="101" t="s">
        <v>98</v>
      </c>
      <c r="D65" s="113">
        <v>6056.38</v>
      </c>
      <c r="E65" s="113">
        <v>561</v>
      </c>
      <c r="F65" s="140">
        <v>0</v>
      </c>
      <c r="G65" s="140">
        <v>0</v>
      </c>
      <c r="H65" s="140">
        <v>0</v>
      </c>
      <c r="J65" s="115"/>
    </row>
    <row r="66" spans="1:10" ht="27.2" x14ac:dyDescent="0.25">
      <c r="A66" s="10"/>
      <c r="B66" s="107" t="s">
        <v>65</v>
      </c>
      <c r="C66" s="110" t="s">
        <v>66</v>
      </c>
      <c r="D66" s="112">
        <f>D67+D73+D75</f>
        <v>113785.5</v>
      </c>
      <c r="E66" s="112">
        <f t="shared" ref="E66:H66" si="17">E67+E73+E75</f>
        <v>279539</v>
      </c>
      <c r="F66" s="148">
        <f t="shared" si="17"/>
        <v>617500</v>
      </c>
      <c r="G66" s="148">
        <f t="shared" si="17"/>
        <v>202780</v>
      </c>
      <c r="H66" s="112">
        <f t="shared" si="17"/>
        <v>254660</v>
      </c>
      <c r="I66" s="152">
        <f>F66/F19</f>
        <v>5.1608859172586709E-2</v>
      </c>
      <c r="J66" s="158">
        <f>F66-E66</f>
        <v>337961</v>
      </c>
    </row>
    <row r="67" spans="1:10" x14ac:dyDescent="0.25">
      <c r="A67" s="10"/>
      <c r="B67" s="10">
        <v>422</v>
      </c>
      <c r="C67" s="104" t="s">
        <v>87</v>
      </c>
      <c r="D67" s="97">
        <f>D68+D69+D70+D71+D72</f>
        <v>111443.75</v>
      </c>
      <c r="E67" s="97">
        <f t="shared" ref="E67:H67" si="18">E68+E69+E70+E71+E72</f>
        <v>279539</v>
      </c>
      <c r="F67" s="127">
        <f t="shared" si="18"/>
        <v>617500</v>
      </c>
      <c r="G67" s="127">
        <f t="shared" si="18"/>
        <v>202780</v>
      </c>
      <c r="H67" s="97">
        <f t="shared" si="18"/>
        <v>254660</v>
      </c>
    </row>
    <row r="68" spans="1:10" x14ac:dyDescent="0.25">
      <c r="A68" s="10"/>
      <c r="B68" s="10">
        <v>4221</v>
      </c>
      <c r="C68" s="105" t="s">
        <v>88</v>
      </c>
      <c r="D68" s="97">
        <v>62749.07</v>
      </c>
      <c r="E68" s="97">
        <v>59000</v>
      </c>
      <c r="F68" s="127">
        <f>15000+45000-1000</f>
        <v>59000</v>
      </c>
      <c r="G68" s="127">
        <f>(15000+35000)*0.88</f>
        <v>44000</v>
      </c>
      <c r="H68" s="127">
        <f>(20000+15000+35000)*0.95-6500</f>
        <v>60000</v>
      </c>
    </row>
    <row r="69" spans="1:10" x14ac:dyDescent="0.25">
      <c r="A69" s="10"/>
      <c r="B69" s="10">
        <v>4222</v>
      </c>
      <c r="C69" s="101" t="s">
        <v>89</v>
      </c>
      <c r="D69" s="97">
        <v>17862.18</v>
      </c>
      <c r="E69" s="97">
        <v>5039</v>
      </c>
      <c r="F69" s="127">
        <f>3000+1000</f>
        <v>4000</v>
      </c>
      <c r="G69" s="127">
        <f>3000*0.88</f>
        <v>2640</v>
      </c>
      <c r="H69" s="127">
        <f>3000*0.95-350</f>
        <v>2500</v>
      </c>
    </row>
    <row r="70" spans="1:10" x14ac:dyDescent="0.25">
      <c r="A70" s="10"/>
      <c r="B70" s="10">
        <v>4223</v>
      </c>
      <c r="C70" s="105" t="s">
        <v>90</v>
      </c>
      <c r="D70" s="97">
        <v>0</v>
      </c>
      <c r="E70" s="97">
        <v>0</v>
      </c>
      <c r="F70" s="127">
        <f>1590-90</f>
        <v>1500</v>
      </c>
      <c r="G70" s="127">
        <f>(2075*0.88)-326</f>
        <v>1500</v>
      </c>
      <c r="H70" s="127">
        <f>(1928.44-340.44)*0.95-8.6</f>
        <v>1500</v>
      </c>
    </row>
    <row r="71" spans="1:10" ht="19.7" customHeight="1" x14ac:dyDescent="0.25">
      <c r="A71" s="10"/>
      <c r="B71" s="10">
        <v>4224</v>
      </c>
      <c r="C71" s="105" t="s">
        <v>91</v>
      </c>
      <c r="D71" s="97">
        <v>5832.5</v>
      </c>
      <c r="E71" s="97">
        <v>213800</v>
      </c>
      <c r="F71" s="127">
        <f>150000+400000</f>
        <v>550000</v>
      </c>
      <c r="G71" s="127">
        <f>175000*0.88-2000</f>
        <v>152000</v>
      </c>
      <c r="H71" s="127">
        <f>200000*0.95-2000</f>
        <v>188000</v>
      </c>
      <c r="I71" s="36"/>
    </row>
    <row r="72" spans="1:10" x14ac:dyDescent="0.25">
      <c r="A72" s="10"/>
      <c r="B72" s="10">
        <v>4227</v>
      </c>
      <c r="C72" s="105" t="s">
        <v>92</v>
      </c>
      <c r="D72" s="97">
        <v>25000</v>
      </c>
      <c r="E72" s="97">
        <v>1700</v>
      </c>
      <c r="F72" s="127">
        <v>3000</v>
      </c>
      <c r="G72" s="127">
        <f>3000*0.88</f>
        <v>2640</v>
      </c>
      <c r="H72" s="127">
        <f>3000*0.95-190</f>
        <v>2660</v>
      </c>
    </row>
    <row r="73" spans="1:10" x14ac:dyDescent="0.25">
      <c r="A73" s="10"/>
      <c r="B73" s="10">
        <v>423</v>
      </c>
      <c r="C73" s="106" t="s">
        <v>93</v>
      </c>
      <c r="D73" s="97">
        <f>D74</f>
        <v>2341.75</v>
      </c>
      <c r="E73" s="97">
        <f t="shared" ref="E73:H73" si="19">E74</f>
        <v>0</v>
      </c>
      <c r="F73" s="127">
        <f t="shared" si="19"/>
        <v>0</v>
      </c>
      <c r="G73" s="127">
        <f t="shared" si="19"/>
        <v>0</v>
      </c>
      <c r="H73" s="97">
        <f t="shared" si="19"/>
        <v>0</v>
      </c>
    </row>
    <row r="74" spans="1:10" x14ac:dyDescent="0.25">
      <c r="A74" s="10"/>
      <c r="B74" s="10">
        <v>4233</v>
      </c>
      <c r="C74" s="105" t="s">
        <v>94</v>
      </c>
      <c r="D74" s="97">
        <v>2341.75</v>
      </c>
      <c r="E74" s="97">
        <v>0</v>
      </c>
      <c r="F74" s="127">
        <v>0</v>
      </c>
      <c r="G74" s="127">
        <v>0</v>
      </c>
      <c r="H74" s="127">
        <v>0</v>
      </c>
    </row>
    <row r="75" spans="1:10" x14ac:dyDescent="0.25">
      <c r="A75" s="10"/>
      <c r="B75" s="10">
        <v>426</v>
      </c>
      <c r="C75" s="104" t="s">
        <v>95</v>
      </c>
      <c r="D75" s="97">
        <f>D76</f>
        <v>0</v>
      </c>
      <c r="E75" s="97">
        <f t="shared" ref="E75:H75" si="20">E76</f>
        <v>0</v>
      </c>
      <c r="F75" s="127">
        <f t="shared" si="20"/>
        <v>0</v>
      </c>
      <c r="G75" s="127">
        <f t="shared" si="20"/>
        <v>0</v>
      </c>
      <c r="H75" s="97">
        <f t="shared" si="20"/>
        <v>0</v>
      </c>
    </row>
    <row r="76" spans="1:10" x14ac:dyDescent="0.25">
      <c r="A76" s="10"/>
      <c r="B76" s="10">
        <v>4262</v>
      </c>
      <c r="C76" s="105" t="s">
        <v>96</v>
      </c>
      <c r="D76" s="97">
        <v>0</v>
      </c>
      <c r="E76" s="97">
        <v>0</v>
      </c>
      <c r="F76" s="127">
        <v>0</v>
      </c>
      <c r="G76" s="127">
        <v>0</v>
      </c>
      <c r="H76" s="127">
        <v>0</v>
      </c>
    </row>
    <row r="79" spans="1:10" x14ac:dyDescent="0.25">
      <c r="D79" s="141">
        <f>D10-D19</f>
        <v>1628936.4000000004</v>
      </c>
      <c r="E79" s="141">
        <f t="shared" ref="E79:H79" si="21">E10-E19</f>
        <v>0</v>
      </c>
      <c r="F79" s="141">
        <f>F10-F19</f>
        <v>-1347368</v>
      </c>
      <c r="G79" s="141">
        <f t="shared" si="21"/>
        <v>0</v>
      </c>
      <c r="H79" s="141">
        <f t="shared" si="21"/>
        <v>0</v>
      </c>
    </row>
    <row r="80" spans="1:10" x14ac:dyDescent="0.25">
      <c r="D80" s="142"/>
      <c r="E80" s="142"/>
      <c r="F80" s="143"/>
      <c r="G80" s="143"/>
      <c r="H80" s="143"/>
    </row>
    <row r="81" spans="4:9" x14ac:dyDescent="0.25">
      <c r="D81" s="142"/>
      <c r="E81" s="142"/>
      <c r="F81" s="146"/>
      <c r="G81" s="146"/>
      <c r="H81" s="146"/>
      <c r="I81" s="147"/>
    </row>
    <row r="82" spans="4:9" x14ac:dyDescent="0.25">
      <c r="D82" s="142"/>
      <c r="E82" s="142"/>
      <c r="F82" s="144"/>
      <c r="G82" s="144"/>
      <c r="H82" s="144"/>
    </row>
    <row r="83" spans="4:9" x14ac:dyDescent="0.25">
      <c r="D83" s="142"/>
      <c r="E83" s="142"/>
      <c r="F83" s="145"/>
      <c r="G83" s="145"/>
      <c r="H83" s="145"/>
      <c r="I83" s="147"/>
    </row>
    <row r="84" spans="4:9" x14ac:dyDescent="0.25">
      <c r="D84" s="142"/>
      <c r="E84" s="142"/>
      <c r="F84" s="144"/>
      <c r="G84" s="144"/>
      <c r="H84" s="144"/>
    </row>
    <row r="85" spans="4:9" x14ac:dyDescent="0.25">
      <c r="D85" s="142"/>
      <c r="E85" s="142"/>
      <c r="F85" s="144"/>
      <c r="G85" s="144"/>
      <c r="H85" s="144"/>
    </row>
  </sheetData>
  <mergeCells count="4">
    <mergeCell ref="A17:C17"/>
    <mergeCell ref="A9:C9"/>
    <mergeCell ref="A18:C18"/>
    <mergeCell ref="A8:C8"/>
  </mergeCells>
  <phoneticPr fontId="26" type="noConversion"/>
  <pageMargins left="0.70866141732283472" right="0.70866141732283472" top="0.74803149606299213" bottom="0.74803149606299213" header="0.31496062992125984" footer="0.31496062992125984"/>
  <pageSetup paperSize="8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12"/>
  <sheetViews>
    <sheetView workbookViewId="0">
      <selection activeCell="F8" sqref="F8"/>
    </sheetView>
  </sheetViews>
  <sheetFormatPr defaultRowHeight="14.3" x14ac:dyDescent="0.25"/>
  <cols>
    <col min="1" max="1" width="44.75" customWidth="1"/>
    <col min="2" max="6" width="19.375" style="63" customWidth="1"/>
    <col min="7" max="8" width="25.25" customWidth="1"/>
  </cols>
  <sheetData>
    <row r="1" spans="1:8" ht="18" x14ac:dyDescent="0.25">
      <c r="A1" s="4"/>
      <c r="B1" s="55"/>
      <c r="C1" s="55"/>
      <c r="D1" s="55"/>
      <c r="E1" s="55"/>
      <c r="F1" s="55"/>
      <c r="G1" s="4"/>
      <c r="H1" s="4"/>
    </row>
    <row r="2" spans="1:8" ht="15.65" customHeight="1" x14ac:dyDescent="0.25">
      <c r="A2" s="166" t="s">
        <v>43</v>
      </c>
      <c r="B2" s="166"/>
      <c r="C2" s="166"/>
      <c r="D2" s="166"/>
      <c r="E2" s="166"/>
      <c r="F2" s="166"/>
      <c r="G2" s="25"/>
      <c r="H2" s="25"/>
    </row>
    <row r="3" spans="1:8" ht="18" x14ac:dyDescent="0.25">
      <c r="A3" s="4"/>
      <c r="B3" s="55"/>
      <c r="C3" s="55"/>
      <c r="D3" s="55"/>
      <c r="E3" s="55"/>
      <c r="F3" s="55"/>
      <c r="G3" s="5"/>
      <c r="H3" s="5"/>
    </row>
    <row r="4" spans="1:8" ht="25.5" customHeight="1" x14ac:dyDescent="0.25">
      <c r="A4" s="27" t="s">
        <v>11</v>
      </c>
      <c r="B4" s="64" t="s">
        <v>73</v>
      </c>
      <c r="C4" s="64" t="s">
        <v>74</v>
      </c>
      <c r="D4" s="59" t="s">
        <v>75</v>
      </c>
      <c r="E4" s="59" t="s">
        <v>41</v>
      </c>
      <c r="F4" s="59" t="s">
        <v>76</v>
      </c>
    </row>
    <row r="5" spans="1:8" s="30" customFormat="1" ht="10.7" x14ac:dyDescent="0.2">
      <c r="A5" s="31">
        <v>1</v>
      </c>
      <c r="B5" s="65">
        <v>2</v>
      </c>
      <c r="C5" s="65">
        <v>3</v>
      </c>
      <c r="D5" s="61">
        <v>4</v>
      </c>
      <c r="E5" s="61">
        <v>5</v>
      </c>
      <c r="F5" s="61">
        <v>6</v>
      </c>
    </row>
    <row r="6" spans="1:8" x14ac:dyDescent="0.25">
      <c r="A6" s="7" t="s">
        <v>44</v>
      </c>
      <c r="B6" s="81">
        <f>B7</f>
        <v>8660400</v>
      </c>
      <c r="C6" s="81">
        <f t="shared" ref="C6:F7" si="0">C7</f>
        <v>7538000</v>
      </c>
      <c r="D6" s="81">
        <f t="shared" si="0"/>
        <v>10617632</v>
      </c>
      <c r="E6" s="81">
        <f t="shared" si="0"/>
        <v>9300000</v>
      </c>
      <c r="F6" s="81">
        <f t="shared" si="0"/>
        <v>9100000</v>
      </c>
    </row>
    <row r="7" spans="1:8" x14ac:dyDescent="0.25">
      <c r="A7" s="7" t="s">
        <v>70</v>
      </c>
      <c r="B7" s="81">
        <f>B8</f>
        <v>8660400</v>
      </c>
      <c r="C7" s="81">
        <f t="shared" si="0"/>
        <v>7538000</v>
      </c>
      <c r="D7" s="81">
        <f t="shared" si="0"/>
        <v>10617632</v>
      </c>
      <c r="E7" s="81">
        <f t="shared" si="0"/>
        <v>9300000</v>
      </c>
      <c r="F7" s="81">
        <f t="shared" si="0"/>
        <v>9100000</v>
      </c>
    </row>
    <row r="8" spans="1:8" x14ac:dyDescent="0.25">
      <c r="A8" s="20" t="s">
        <v>71</v>
      </c>
      <c r="B8" s="82">
        <f>' Račun prihoda i rashoda-ekonom'!D10</f>
        <v>8660400</v>
      </c>
      <c r="C8" s="82">
        <f>' Račun prihoda i rashoda-ekonom'!E10</f>
        <v>7538000</v>
      </c>
      <c r="D8" s="82">
        <f>' Račun prihoda i rashoda-ekonom'!F10</f>
        <v>10617632</v>
      </c>
      <c r="E8" s="82">
        <f>' Račun prihoda i rashoda-ekonom'!G10</f>
        <v>9300000</v>
      </c>
      <c r="F8" s="82">
        <f>' Račun prihoda i rashoda-ekonom'!H10</f>
        <v>9100000</v>
      </c>
    </row>
    <row r="9" spans="1:8" ht="14.95" x14ac:dyDescent="0.25">
      <c r="B9" s="114"/>
      <c r="C9" s="114"/>
      <c r="D9" s="115"/>
      <c r="E9" s="115"/>
      <c r="F9" s="115"/>
    </row>
    <row r="10" spans="1:8" x14ac:dyDescent="0.25">
      <c r="A10" s="7" t="s">
        <v>45</v>
      </c>
      <c r="B10" s="81">
        <f>B11</f>
        <v>7031463.5999999996</v>
      </c>
      <c r="C10" s="81">
        <f t="shared" ref="C10:F11" si="1">C11</f>
        <v>7538000</v>
      </c>
      <c r="D10" s="81">
        <f t="shared" si="1"/>
        <v>11965000</v>
      </c>
      <c r="E10" s="81">
        <f t="shared" si="1"/>
        <v>9300000</v>
      </c>
      <c r="F10" s="81">
        <f t="shared" si="1"/>
        <v>9100000</v>
      </c>
    </row>
    <row r="11" spans="1:8" x14ac:dyDescent="0.25">
      <c r="A11" s="7" t="s">
        <v>70</v>
      </c>
      <c r="B11" s="81">
        <f>B12</f>
        <v>7031463.5999999996</v>
      </c>
      <c r="C11" s="81">
        <f t="shared" si="1"/>
        <v>7538000</v>
      </c>
      <c r="D11" s="81">
        <f t="shared" si="1"/>
        <v>11965000</v>
      </c>
      <c r="E11" s="81">
        <f t="shared" si="1"/>
        <v>9300000</v>
      </c>
      <c r="F11" s="81">
        <f t="shared" si="1"/>
        <v>9100000</v>
      </c>
    </row>
    <row r="12" spans="1:8" x14ac:dyDescent="0.25">
      <c r="A12" s="20" t="s">
        <v>71</v>
      </c>
      <c r="B12" s="82">
        <f>' Račun prihoda i rashoda-ekonom'!D19</f>
        <v>7031463.5999999996</v>
      </c>
      <c r="C12" s="82">
        <f>' Račun prihoda i rashoda-ekonom'!E19</f>
        <v>7538000</v>
      </c>
      <c r="D12" s="82">
        <f>' Račun prihoda i rashoda-ekonom'!F19</f>
        <v>11965000</v>
      </c>
      <c r="E12" s="82">
        <f>' Račun prihoda i rashoda-ekonom'!G19</f>
        <v>9300000</v>
      </c>
      <c r="F12" s="82">
        <f>' Račun prihoda i rashoda-ekonom'!H19</f>
        <v>9100000</v>
      </c>
    </row>
  </sheetData>
  <mergeCells count="1">
    <mergeCell ref="A2:F2"/>
  </mergeCells>
  <pageMargins left="0.7" right="0.7" top="0.75" bottom="0.75" header="0.3" footer="0.3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H8"/>
  <sheetViews>
    <sheetView workbookViewId="0">
      <selection activeCell="F8" sqref="F8"/>
    </sheetView>
  </sheetViews>
  <sheetFormatPr defaultRowHeight="14.3" x14ac:dyDescent="0.25"/>
  <cols>
    <col min="1" max="1" width="44.75" customWidth="1"/>
    <col min="2" max="6" width="19.375" style="63" customWidth="1"/>
    <col min="7" max="8" width="25.25" customWidth="1"/>
  </cols>
  <sheetData>
    <row r="1" spans="1:8" ht="18" x14ac:dyDescent="0.25">
      <c r="A1" s="4"/>
      <c r="B1" s="55"/>
      <c r="C1" s="55"/>
      <c r="D1" s="55"/>
      <c r="E1" s="55"/>
      <c r="F1" s="55"/>
      <c r="G1" s="4"/>
      <c r="H1" s="4"/>
    </row>
    <row r="2" spans="1:8" ht="15.65" customHeight="1" x14ac:dyDescent="0.25">
      <c r="A2" s="166" t="s">
        <v>46</v>
      </c>
      <c r="B2" s="166"/>
      <c r="C2" s="166"/>
      <c r="D2" s="166"/>
      <c r="E2" s="166"/>
      <c r="F2" s="166"/>
      <c r="G2" s="25"/>
      <c r="H2" s="25"/>
    </row>
    <row r="3" spans="1:8" ht="18" x14ac:dyDescent="0.25">
      <c r="A3" s="4"/>
      <c r="B3" s="55"/>
      <c r="C3" s="55"/>
      <c r="D3" s="55"/>
      <c r="E3" s="55"/>
      <c r="F3" s="55"/>
      <c r="G3" s="5"/>
      <c r="H3" s="5"/>
    </row>
    <row r="4" spans="1:8" ht="25.5" customHeight="1" x14ac:dyDescent="0.25">
      <c r="A4" s="27" t="s">
        <v>11</v>
      </c>
      <c r="B4" s="64" t="s">
        <v>73</v>
      </c>
      <c r="C4" s="64" t="s">
        <v>74</v>
      </c>
      <c r="D4" s="59" t="s">
        <v>75</v>
      </c>
      <c r="E4" s="59" t="s">
        <v>41</v>
      </c>
      <c r="F4" s="59" t="s">
        <v>76</v>
      </c>
    </row>
    <row r="5" spans="1:8" s="30" customFormat="1" ht="10.7" x14ac:dyDescent="0.2">
      <c r="A5" s="31">
        <v>1</v>
      </c>
      <c r="B5" s="65">
        <v>2</v>
      </c>
      <c r="C5" s="65">
        <v>3</v>
      </c>
      <c r="D5" s="61">
        <v>4</v>
      </c>
      <c r="E5" s="61">
        <v>5</v>
      </c>
      <c r="F5" s="61">
        <v>6</v>
      </c>
    </row>
    <row r="6" spans="1:8" x14ac:dyDescent="0.25">
      <c r="A6" s="7" t="s">
        <v>45</v>
      </c>
      <c r="B6" s="81">
        <f>B7</f>
        <v>7031463.5999999996</v>
      </c>
      <c r="C6" s="81">
        <f t="shared" ref="C6:F7" si="0">C7</f>
        <v>7538000</v>
      </c>
      <c r="D6" s="81">
        <f t="shared" si="0"/>
        <v>11965000</v>
      </c>
      <c r="E6" s="81">
        <f t="shared" si="0"/>
        <v>9300000</v>
      </c>
      <c r="F6" s="81">
        <f t="shared" si="0"/>
        <v>9100000</v>
      </c>
    </row>
    <row r="7" spans="1:8" x14ac:dyDescent="0.25">
      <c r="A7" s="7" t="s">
        <v>68</v>
      </c>
      <c r="B7" s="81">
        <f>B8</f>
        <v>7031463.5999999996</v>
      </c>
      <c r="C7" s="81">
        <f t="shared" si="0"/>
        <v>7538000</v>
      </c>
      <c r="D7" s="81">
        <f t="shared" si="0"/>
        <v>11965000</v>
      </c>
      <c r="E7" s="81">
        <f t="shared" si="0"/>
        <v>9300000</v>
      </c>
      <c r="F7" s="81">
        <f t="shared" si="0"/>
        <v>9100000</v>
      </c>
    </row>
    <row r="8" spans="1:8" x14ac:dyDescent="0.25">
      <c r="A8" s="12" t="s">
        <v>69</v>
      </c>
      <c r="B8" s="82">
        <f>' Račun prihoda i rashoda-ekonom'!D19</f>
        <v>7031463.5999999996</v>
      </c>
      <c r="C8" s="82">
        <f>' Račun prihoda i rashoda-ekonom'!E19</f>
        <v>7538000</v>
      </c>
      <c r="D8" s="82">
        <f>' Račun prihoda i rashoda-ekonom'!F19</f>
        <v>11965000</v>
      </c>
      <c r="E8" s="82">
        <f>' Račun prihoda i rashoda-ekonom'!G19</f>
        <v>9300000</v>
      </c>
      <c r="F8" s="82">
        <f>' Račun prihoda i rashoda-ekonom'!H19</f>
        <v>9100000</v>
      </c>
    </row>
  </sheetData>
  <mergeCells count="1">
    <mergeCell ref="A2:F2"/>
  </mergeCells>
  <pageMargins left="0.7" right="0.7" top="0.75" bottom="0.75" header="0.3" footer="0.3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J15"/>
  <sheetViews>
    <sheetView workbookViewId="0">
      <selection activeCell="K18" sqref="K18"/>
    </sheetView>
  </sheetViews>
  <sheetFormatPr defaultRowHeight="14.3" x14ac:dyDescent="0.25"/>
  <cols>
    <col min="1" max="1" width="7.375" bestFit="1" customWidth="1"/>
    <col min="2" max="2" width="8.375" bestFit="1" customWidth="1"/>
    <col min="3" max="3" width="44.75" customWidth="1"/>
    <col min="4" max="8" width="19.375" customWidth="1"/>
    <col min="9" max="10" width="25.25" customWidth="1"/>
  </cols>
  <sheetData>
    <row r="1" spans="1:10" ht="18" x14ac:dyDescent="0.25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5.65" x14ac:dyDescent="0.25">
      <c r="A2" s="166" t="s">
        <v>16</v>
      </c>
      <c r="B2" s="166"/>
      <c r="C2" s="166"/>
      <c r="D2" s="166"/>
      <c r="E2" s="166"/>
      <c r="F2" s="166"/>
      <c r="G2" s="166"/>
      <c r="H2" s="166"/>
      <c r="I2" s="24"/>
      <c r="J2" s="24"/>
    </row>
    <row r="3" spans="1:10" ht="18" x14ac:dyDescent="0.25">
      <c r="A3" s="4"/>
      <c r="B3" s="4"/>
      <c r="C3" s="4"/>
      <c r="D3" s="4"/>
      <c r="E3" s="4"/>
      <c r="F3" s="4"/>
      <c r="G3" s="4"/>
      <c r="H3" s="4"/>
      <c r="I3" s="5"/>
      <c r="J3" s="5"/>
    </row>
    <row r="4" spans="1:10" ht="16.3" x14ac:dyDescent="0.3">
      <c r="A4" s="166" t="s">
        <v>12</v>
      </c>
      <c r="B4" s="166"/>
      <c r="C4" s="166"/>
      <c r="D4" s="166"/>
      <c r="E4" s="166"/>
      <c r="F4" s="166"/>
      <c r="G4" s="166"/>
      <c r="H4" s="166"/>
      <c r="I4" s="23"/>
      <c r="J4" s="23"/>
    </row>
    <row r="5" spans="1:10" ht="18" x14ac:dyDescent="0.25">
      <c r="A5" s="4"/>
      <c r="B5" s="4"/>
      <c r="C5" s="4"/>
      <c r="D5" s="4"/>
      <c r="E5" s="4"/>
      <c r="F5" s="4"/>
      <c r="G5" s="4"/>
      <c r="H5" s="4"/>
      <c r="I5" s="5"/>
      <c r="J5" s="5"/>
    </row>
    <row r="6" spans="1:10" ht="16.3" x14ac:dyDescent="0.25">
      <c r="A6" s="166" t="s">
        <v>47</v>
      </c>
      <c r="B6" s="166"/>
      <c r="C6" s="166"/>
      <c r="D6" s="166"/>
      <c r="E6" s="166"/>
      <c r="F6" s="166"/>
      <c r="G6" s="166"/>
      <c r="H6" s="166"/>
      <c r="I6" s="25"/>
      <c r="J6" s="25"/>
    </row>
    <row r="7" spans="1:10" ht="18" x14ac:dyDescent="0.25">
      <c r="A7" s="4"/>
      <c r="B7" s="4"/>
      <c r="C7" s="4"/>
      <c r="D7" s="4"/>
      <c r="E7" s="4"/>
      <c r="F7" s="4"/>
      <c r="G7" s="4"/>
      <c r="H7" s="4"/>
      <c r="I7" s="5"/>
      <c r="J7" s="5"/>
    </row>
    <row r="8" spans="1:10" ht="27.2" x14ac:dyDescent="0.25">
      <c r="A8" s="191" t="s">
        <v>11</v>
      </c>
      <c r="B8" s="192"/>
      <c r="C8" s="193"/>
      <c r="D8" s="28" t="s">
        <v>73</v>
      </c>
      <c r="E8" s="28" t="s">
        <v>74</v>
      </c>
      <c r="F8" s="29" t="s">
        <v>75</v>
      </c>
      <c r="G8" s="29" t="s">
        <v>41</v>
      </c>
      <c r="H8" s="29" t="s">
        <v>76</v>
      </c>
    </row>
    <row r="9" spans="1:10" s="30" customFormat="1" ht="10.7" x14ac:dyDescent="0.2">
      <c r="A9" s="197">
        <v>1</v>
      </c>
      <c r="B9" s="198"/>
      <c r="C9" s="199"/>
      <c r="D9" s="32">
        <v>2</v>
      </c>
      <c r="E9" s="32">
        <v>3</v>
      </c>
      <c r="F9" s="33">
        <v>4</v>
      </c>
      <c r="G9" s="33">
        <v>5</v>
      </c>
      <c r="H9" s="33">
        <v>6</v>
      </c>
    </row>
    <row r="10" spans="1:10" x14ac:dyDescent="0.25">
      <c r="A10" s="7">
        <v>8</v>
      </c>
      <c r="B10" s="7"/>
      <c r="C10" s="7" t="s">
        <v>13</v>
      </c>
      <c r="D10" s="128">
        <v>0</v>
      </c>
      <c r="E10" s="128">
        <v>0</v>
      </c>
      <c r="F10" s="129">
        <v>0</v>
      </c>
      <c r="G10" s="129">
        <v>0</v>
      </c>
      <c r="H10" s="129">
        <v>0</v>
      </c>
    </row>
    <row r="11" spans="1:10" x14ac:dyDescent="0.25">
      <c r="A11" s="7"/>
      <c r="B11" s="10">
        <v>84</v>
      </c>
      <c r="C11" s="10" t="s">
        <v>18</v>
      </c>
      <c r="D11" s="130"/>
      <c r="E11" s="130"/>
      <c r="F11" s="131"/>
      <c r="G11" s="131"/>
      <c r="H11" s="131"/>
    </row>
    <row r="12" spans="1:10" x14ac:dyDescent="0.25">
      <c r="A12" s="8" t="s">
        <v>21</v>
      </c>
      <c r="B12" s="8"/>
      <c r="C12" s="12"/>
      <c r="D12" s="132"/>
      <c r="E12" s="132"/>
      <c r="F12" s="131"/>
      <c r="G12" s="131"/>
      <c r="H12" s="131"/>
    </row>
    <row r="13" spans="1:10" ht="23.6" customHeight="1" x14ac:dyDescent="0.25">
      <c r="A13" s="9">
        <v>5</v>
      </c>
      <c r="B13" s="9"/>
      <c r="C13" s="16" t="s">
        <v>14</v>
      </c>
      <c r="D13" s="128">
        <v>0</v>
      </c>
      <c r="E13" s="128">
        <v>0</v>
      </c>
      <c r="F13" s="129">
        <v>0</v>
      </c>
      <c r="G13" s="129">
        <v>0</v>
      </c>
      <c r="H13" s="129">
        <v>0</v>
      </c>
    </row>
    <row r="14" spans="1:10" ht="25.65" x14ac:dyDescent="0.25">
      <c r="A14" s="10"/>
      <c r="B14" s="10">
        <v>54</v>
      </c>
      <c r="C14" s="17" t="s">
        <v>19</v>
      </c>
      <c r="D14" s="132"/>
      <c r="E14" s="132"/>
      <c r="F14" s="131"/>
      <c r="G14" s="131"/>
      <c r="H14" s="131"/>
    </row>
    <row r="15" spans="1:10" x14ac:dyDescent="0.25">
      <c r="A15" s="11" t="s">
        <v>21</v>
      </c>
      <c r="B15" s="9"/>
      <c r="C15" s="16"/>
      <c r="D15" s="132"/>
      <c r="E15" s="132"/>
      <c r="F15" s="131"/>
      <c r="G15" s="131"/>
      <c r="H15" s="131"/>
    </row>
  </sheetData>
  <mergeCells count="5">
    <mergeCell ref="A2:H2"/>
    <mergeCell ref="A4:H4"/>
    <mergeCell ref="A6:H6"/>
    <mergeCell ref="A8:C8"/>
    <mergeCell ref="A9:C9"/>
  </mergeCells>
  <pageMargins left="0.7" right="0.7" top="0.75" bottom="0.75" header="0.3" footer="0.3"/>
  <pageSetup paperSize="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H26"/>
  <sheetViews>
    <sheetView workbookViewId="0">
      <selection activeCell="H22" sqref="H22"/>
    </sheetView>
  </sheetViews>
  <sheetFormatPr defaultRowHeight="14.3" x14ac:dyDescent="0.25"/>
  <cols>
    <col min="1" max="1" width="44.75" customWidth="1"/>
    <col min="2" max="6" width="19.375" customWidth="1"/>
    <col min="7" max="8" width="25.25" customWidth="1"/>
  </cols>
  <sheetData>
    <row r="1" spans="1:8" ht="18" x14ac:dyDescent="0.25">
      <c r="A1" s="4"/>
      <c r="B1" s="4"/>
      <c r="C1" s="4"/>
      <c r="D1" s="4"/>
      <c r="E1" s="4"/>
      <c r="F1" s="4"/>
      <c r="G1" s="4"/>
      <c r="H1" s="4"/>
    </row>
    <row r="2" spans="1:8" ht="15.65" customHeight="1" x14ac:dyDescent="0.25">
      <c r="A2" s="166" t="s">
        <v>48</v>
      </c>
      <c r="B2" s="166"/>
      <c r="C2" s="166"/>
      <c r="D2" s="166"/>
      <c r="E2" s="166"/>
      <c r="F2" s="166"/>
      <c r="G2" s="25"/>
      <c r="H2" s="25"/>
    </row>
    <row r="3" spans="1:8" ht="18" x14ac:dyDescent="0.25">
      <c r="A3" s="4"/>
      <c r="B3" s="4"/>
      <c r="C3" s="4"/>
      <c r="D3" s="4"/>
      <c r="E3" s="4"/>
      <c r="F3" s="4"/>
      <c r="G3" s="5"/>
      <c r="H3" s="5"/>
    </row>
    <row r="4" spans="1:8" ht="25.5" customHeight="1" x14ac:dyDescent="0.25">
      <c r="A4" s="27" t="s">
        <v>11</v>
      </c>
      <c r="B4" s="28" t="s">
        <v>73</v>
      </c>
      <c r="C4" s="28" t="s">
        <v>74</v>
      </c>
      <c r="D4" s="29" t="s">
        <v>75</v>
      </c>
      <c r="E4" s="29" t="s">
        <v>41</v>
      </c>
      <c r="F4" s="29" t="s">
        <v>76</v>
      </c>
    </row>
    <row r="5" spans="1:8" s="30" customFormat="1" ht="10.7" x14ac:dyDescent="0.2">
      <c r="A5" s="31">
        <v>1</v>
      </c>
      <c r="B5" s="32">
        <v>2</v>
      </c>
      <c r="C5" s="32">
        <v>3</v>
      </c>
      <c r="D5" s="33">
        <v>4</v>
      </c>
      <c r="E5" s="33">
        <v>5</v>
      </c>
      <c r="F5" s="33">
        <v>6</v>
      </c>
    </row>
    <row r="6" spans="1:8" x14ac:dyDescent="0.25">
      <c r="A6" s="7" t="s">
        <v>49</v>
      </c>
      <c r="B6" s="128">
        <v>0</v>
      </c>
      <c r="C6" s="128">
        <v>0</v>
      </c>
      <c r="D6" s="129">
        <v>0</v>
      </c>
      <c r="E6" s="129">
        <v>0</v>
      </c>
      <c r="F6" s="129">
        <v>0</v>
      </c>
    </row>
    <row r="7" spans="1:8" x14ac:dyDescent="0.25">
      <c r="A7" s="7" t="s">
        <v>23</v>
      </c>
      <c r="B7" s="130"/>
      <c r="C7" s="130"/>
      <c r="D7" s="131"/>
      <c r="E7" s="131"/>
      <c r="F7" s="131"/>
    </row>
    <row r="8" spans="1:8" x14ac:dyDescent="0.25">
      <c r="A8" s="20" t="s">
        <v>24</v>
      </c>
      <c r="B8" s="132"/>
      <c r="C8" s="132"/>
      <c r="D8" s="131"/>
      <c r="E8" s="131"/>
      <c r="F8" s="131"/>
    </row>
    <row r="9" spans="1:8" x14ac:dyDescent="0.25">
      <c r="A9" s="21" t="s">
        <v>25</v>
      </c>
      <c r="B9" s="132"/>
      <c r="C9" s="132"/>
      <c r="D9" s="131"/>
      <c r="E9" s="131"/>
      <c r="F9" s="131"/>
    </row>
    <row r="10" spans="1:8" x14ac:dyDescent="0.25">
      <c r="A10" s="21" t="s">
        <v>26</v>
      </c>
      <c r="B10" s="132"/>
      <c r="C10" s="132"/>
      <c r="D10" s="131"/>
      <c r="E10" s="131"/>
      <c r="F10" s="131"/>
    </row>
    <row r="11" spans="1:8" x14ac:dyDescent="0.25">
      <c r="A11" s="7" t="s">
        <v>27</v>
      </c>
      <c r="B11" s="132"/>
      <c r="C11" s="132"/>
      <c r="D11" s="131"/>
      <c r="E11" s="131"/>
      <c r="F11" s="131"/>
    </row>
    <row r="12" spans="1:8" ht="14.95" x14ac:dyDescent="0.25">
      <c r="A12" s="22" t="s">
        <v>28</v>
      </c>
      <c r="B12" s="133"/>
      <c r="C12" s="133"/>
      <c r="D12" s="133"/>
      <c r="E12" s="133"/>
      <c r="F12" s="133"/>
    </row>
    <row r="13" spans="1:8" ht="14.95" x14ac:dyDescent="0.25">
      <c r="A13" s="7" t="s">
        <v>29</v>
      </c>
      <c r="B13" s="133"/>
      <c r="C13" s="133"/>
      <c r="D13" s="133"/>
      <c r="E13" s="133"/>
      <c r="F13" s="133"/>
    </row>
    <row r="14" spans="1:8" ht="14.95" x14ac:dyDescent="0.25">
      <c r="A14" s="22" t="s">
        <v>30</v>
      </c>
      <c r="B14" s="133"/>
      <c r="C14" s="133"/>
      <c r="D14" s="133"/>
      <c r="E14" s="133"/>
      <c r="F14" s="133"/>
    </row>
    <row r="15" spans="1:8" x14ac:dyDescent="0.25">
      <c r="A15" s="10" t="s">
        <v>21</v>
      </c>
      <c r="B15" s="133"/>
      <c r="C15" s="133"/>
      <c r="D15" s="133"/>
      <c r="E15" s="133"/>
      <c r="F15" s="133"/>
    </row>
    <row r="16" spans="1:8" ht="14.95" x14ac:dyDescent="0.25">
      <c r="A16" s="22"/>
      <c r="B16" s="133"/>
      <c r="C16" s="133"/>
      <c r="D16" s="133"/>
      <c r="E16" s="133"/>
      <c r="F16" s="133"/>
    </row>
    <row r="17" spans="1:6" x14ac:dyDescent="0.25">
      <c r="A17" s="7" t="s">
        <v>50</v>
      </c>
      <c r="B17" s="128">
        <v>0</v>
      </c>
      <c r="C17" s="128">
        <v>0</v>
      </c>
      <c r="D17" s="129">
        <v>0</v>
      </c>
      <c r="E17" s="129">
        <v>0</v>
      </c>
      <c r="F17" s="129">
        <v>0</v>
      </c>
    </row>
    <row r="18" spans="1:6" x14ac:dyDescent="0.25">
      <c r="A18" s="7" t="s">
        <v>23</v>
      </c>
      <c r="B18" s="133"/>
      <c r="C18" s="133"/>
      <c r="D18" s="133"/>
      <c r="E18" s="133"/>
      <c r="F18" s="133"/>
    </row>
    <row r="19" spans="1:6" x14ac:dyDescent="0.25">
      <c r="A19" s="20" t="s">
        <v>24</v>
      </c>
      <c r="B19" s="133"/>
      <c r="C19" s="133"/>
      <c r="D19" s="133"/>
      <c r="E19" s="133"/>
      <c r="F19" s="133"/>
    </row>
    <row r="20" spans="1:6" x14ac:dyDescent="0.25">
      <c r="A20" s="21" t="s">
        <v>25</v>
      </c>
      <c r="B20" s="133"/>
      <c r="C20" s="133"/>
      <c r="D20" s="133"/>
      <c r="E20" s="133"/>
      <c r="F20" s="133"/>
    </row>
    <row r="21" spans="1:6" x14ac:dyDescent="0.25">
      <c r="A21" s="21" t="s">
        <v>26</v>
      </c>
      <c r="B21" s="133"/>
      <c r="C21" s="133"/>
      <c r="D21" s="133"/>
      <c r="E21" s="133"/>
      <c r="F21" s="133"/>
    </row>
    <row r="22" spans="1:6" x14ac:dyDescent="0.25">
      <c r="A22" s="7" t="s">
        <v>27</v>
      </c>
      <c r="B22" s="133"/>
      <c r="C22" s="133"/>
      <c r="D22" s="133"/>
      <c r="E22" s="133"/>
      <c r="F22" s="133"/>
    </row>
    <row r="23" spans="1:6" x14ac:dyDescent="0.25">
      <c r="A23" s="22" t="s">
        <v>28</v>
      </c>
      <c r="B23" s="133"/>
      <c r="C23" s="133"/>
      <c r="D23" s="133"/>
      <c r="E23" s="133"/>
      <c r="F23" s="133"/>
    </row>
    <row r="24" spans="1:6" x14ac:dyDescent="0.25">
      <c r="A24" s="7" t="s">
        <v>29</v>
      </c>
      <c r="B24" s="133"/>
      <c r="C24" s="133"/>
      <c r="D24" s="133"/>
      <c r="E24" s="133"/>
      <c r="F24" s="133"/>
    </row>
    <row r="25" spans="1:6" x14ac:dyDescent="0.25">
      <c r="A25" s="22" t="s">
        <v>30</v>
      </c>
      <c r="B25" s="133"/>
      <c r="C25" s="133"/>
      <c r="D25" s="133"/>
      <c r="E25" s="133"/>
      <c r="F25" s="133"/>
    </row>
    <row r="26" spans="1:6" x14ac:dyDescent="0.25">
      <c r="A26" s="10" t="s">
        <v>21</v>
      </c>
      <c r="B26" s="133"/>
      <c r="C26" s="133"/>
      <c r="D26" s="133"/>
      <c r="E26" s="133"/>
      <c r="F26" s="133"/>
    </row>
  </sheetData>
  <mergeCells count="1">
    <mergeCell ref="A2:F2"/>
  </mergeCells>
  <pageMargins left="0.7" right="0.7" top="0.75" bottom="0.75" header="0.3" footer="0.3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I78"/>
  <sheetViews>
    <sheetView workbookViewId="0">
      <selection activeCell="G6" sqref="G6"/>
    </sheetView>
  </sheetViews>
  <sheetFormatPr defaultRowHeight="14.3" x14ac:dyDescent="0.25"/>
  <cols>
    <col min="1" max="1" width="17.25" customWidth="1"/>
    <col min="2" max="2" width="54.375" style="36" customWidth="1"/>
    <col min="3" max="7" width="19.375" style="63" customWidth="1"/>
    <col min="8" max="8" width="24.25" style="37" customWidth="1"/>
    <col min="9" max="9" width="24.25" customWidth="1"/>
  </cols>
  <sheetData>
    <row r="1" spans="1:9" ht="18" x14ac:dyDescent="0.25">
      <c r="A1" s="4"/>
      <c r="B1" s="4"/>
      <c r="C1" s="55"/>
      <c r="D1" s="55"/>
      <c r="E1" s="55"/>
      <c r="F1" s="55"/>
      <c r="G1" s="55"/>
      <c r="H1" s="47"/>
      <c r="I1" s="5"/>
    </row>
    <row r="2" spans="1:9" ht="18" customHeight="1" x14ac:dyDescent="0.25">
      <c r="A2" s="166" t="s">
        <v>15</v>
      </c>
      <c r="B2" s="166"/>
      <c r="C2" s="166"/>
      <c r="D2" s="166"/>
      <c r="E2" s="166"/>
      <c r="F2" s="166"/>
      <c r="G2" s="166"/>
      <c r="H2" s="48"/>
      <c r="I2" s="23"/>
    </row>
    <row r="3" spans="1:9" ht="18" x14ac:dyDescent="0.25">
      <c r="A3" s="4"/>
      <c r="B3" s="4"/>
      <c r="C3" s="55"/>
      <c r="D3" s="55"/>
      <c r="E3" s="55"/>
      <c r="F3" s="55"/>
      <c r="G3" s="55"/>
      <c r="H3" s="47"/>
      <c r="I3" s="5"/>
    </row>
    <row r="4" spans="1:9" ht="27.2" x14ac:dyDescent="0.25">
      <c r="A4" s="192" t="s">
        <v>11</v>
      </c>
      <c r="B4" s="193"/>
      <c r="C4" s="64" t="s">
        <v>73</v>
      </c>
      <c r="D4" s="64" t="s">
        <v>74</v>
      </c>
      <c r="E4" s="59" t="s">
        <v>75</v>
      </c>
      <c r="F4" s="59" t="s">
        <v>41</v>
      </c>
      <c r="G4" s="59" t="s">
        <v>76</v>
      </c>
    </row>
    <row r="5" spans="1:9" x14ac:dyDescent="0.25">
      <c r="A5" s="162"/>
      <c r="B5" s="161" t="s">
        <v>131</v>
      </c>
      <c r="C5" s="159"/>
      <c r="D5" s="159"/>
      <c r="E5" s="160"/>
      <c r="F5" s="160"/>
      <c r="G5" s="160"/>
    </row>
    <row r="6" spans="1:9" x14ac:dyDescent="0.25">
      <c r="A6" s="35" t="s">
        <v>51</v>
      </c>
      <c r="B6" s="34" t="s">
        <v>52</v>
      </c>
      <c r="C6" s="116">
        <f t="shared" ref="C6:C11" si="0">C7</f>
        <v>7031463.5999999996</v>
      </c>
      <c r="D6" s="116">
        <f t="shared" ref="D6:G11" si="1">D7</f>
        <v>7538000</v>
      </c>
      <c r="E6" s="116">
        <f t="shared" si="1"/>
        <v>11965000</v>
      </c>
      <c r="F6" s="116">
        <f t="shared" si="1"/>
        <v>9300000</v>
      </c>
      <c r="G6" s="116">
        <f t="shared" si="1"/>
        <v>9100000</v>
      </c>
    </row>
    <row r="7" spans="1:9" x14ac:dyDescent="0.25">
      <c r="A7" s="34">
        <v>5</v>
      </c>
      <c r="B7" s="34" t="s">
        <v>67</v>
      </c>
      <c r="C7" s="116">
        <f t="shared" si="0"/>
        <v>7031463.5999999996</v>
      </c>
      <c r="D7" s="116">
        <f t="shared" si="1"/>
        <v>7538000</v>
      </c>
      <c r="E7" s="116">
        <f t="shared" si="1"/>
        <v>11965000</v>
      </c>
      <c r="F7" s="116">
        <f t="shared" si="1"/>
        <v>9300000</v>
      </c>
      <c r="G7" s="116">
        <f t="shared" si="1"/>
        <v>9100000</v>
      </c>
    </row>
    <row r="8" spans="1:9" x14ac:dyDescent="0.25">
      <c r="A8" s="35" t="s">
        <v>53</v>
      </c>
      <c r="B8" s="34" t="s">
        <v>54</v>
      </c>
      <c r="C8" s="116">
        <f t="shared" si="0"/>
        <v>7031463.5999999996</v>
      </c>
      <c r="D8" s="116">
        <f t="shared" si="1"/>
        <v>7538000</v>
      </c>
      <c r="E8" s="116">
        <f t="shared" si="1"/>
        <v>11965000</v>
      </c>
      <c r="F8" s="116">
        <f t="shared" si="1"/>
        <v>9300000</v>
      </c>
      <c r="G8" s="116">
        <f t="shared" si="1"/>
        <v>9100000</v>
      </c>
    </row>
    <row r="9" spans="1:9" x14ac:dyDescent="0.25">
      <c r="A9" s="35" t="s">
        <v>55</v>
      </c>
      <c r="B9" s="34" t="s">
        <v>56</v>
      </c>
      <c r="C9" s="116">
        <f t="shared" si="0"/>
        <v>7031463.5999999996</v>
      </c>
      <c r="D9" s="116">
        <f t="shared" si="1"/>
        <v>7538000</v>
      </c>
      <c r="E9" s="116">
        <f t="shared" si="1"/>
        <v>11965000</v>
      </c>
      <c r="F9" s="116">
        <f t="shared" si="1"/>
        <v>9300000</v>
      </c>
      <c r="G9" s="116">
        <f t="shared" si="1"/>
        <v>9100000</v>
      </c>
    </row>
    <row r="10" spans="1:9" ht="25.85" x14ac:dyDescent="0.25">
      <c r="A10" s="35" t="s">
        <v>57</v>
      </c>
      <c r="B10" s="34" t="s">
        <v>58</v>
      </c>
      <c r="C10" s="116">
        <f t="shared" si="0"/>
        <v>7031463.5999999996</v>
      </c>
      <c r="D10" s="116">
        <f t="shared" si="1"/>
        <v>7538000</v>
      </c>
      <c r="E10" s="116">
        <f t="shared" si="1"/>
        <v>11965000</v>
      </c>
      <c r="F10" s="116">
        <f t="shared" si="1"/>
        <v>9300000</v>
      </c>
      <c r="G10" s="116">
        <f t="shared" si="1"/>
        <v>9100000</v>
      </c>
    </row>
    <row r="11" spans="1:9" x14ac:dyDescent="0.25">
      <c r="A11" s="35" t="s">
        <v>59</v>
      </c>
      <c r="B11" s="34" t="s">
        <v>60</v>
      </c>
      <c r="C11" s="116">
        <f t="shared" si="0"/>
        <v>7031463.5999999996</v>
      </c>
      <c r="D11" s="116">
        <f t="shared" si="1"/>
        <v>7538000</v>
      </c>
      <c r="E11" s="116">
        <f t="shared" si="1"/>
        <v>11965000</v>
      </c>
      <c r="F11" s="116">
        <f t="shared" si="1"/>
        <v>9300000</v>
      </c>
      <c r="G11" s="116">
        <f t="shared" si="1"/>
        <v>9100000</v>
      </c>
    </row>
    <row r="12" spans="1:9" x14ac:dyDescent="0.25">
      <c r="A12" s="35" t="s">
        <v>53</v>
      </c>
      <c r="B12" s="34" t="s">
        <v>54</v>
      </c>
      <c r="C12" s="117">
        <f>C13+C55</f>
        <v>7031463.5999999996</v>
      </c>
      <c r="D12" s="117">
        <f t="shared" ref="D12:G12" si="2">D13+D55</f>
        <v>7538000</v>
      </c>
      <c r="E12" s="117">
        <f t="shared" si="2"/>
        <v>11965000</v>
      </c>
      <c r="F12" s="117">
        <f t="shared" si="2"/>
        <v>9300000</v>
      </c>
      <c r="G12" s="117">
        <f t="shared" si="2"/>
        <v>9100000</v>
      </c>
    </row>
    <row r="13" spans="1:9" x14ac:dyDescent="0.25">
      <c r="A13" s="119">
        <v>3</v>
      </c>
      <c r="B13" s="120" t="s">
        <v>7</v>
      </c>
      <c r="C13" s="117">
        <f>C14+C23+C52</f>
        <v>6911621.7199999997</v>
      </c>
      <c r="D13" s="117">
        <f t="shared" ref="D13:G13" si="3">D14+D23+D52</f>
        <v>7257900</v>
      </c>
      <c r="E13" s="117">
        <f t="shared" si="3"/>
        <v>11347500</v>
      </c>
      <c r="F13" s="117">
        <f t="shared" si="3"/>
        <v>9097220</v>
      </c>
      <c r="G13" s="117">
        <f t="shared" si="3"/>
        <v>8845340</v>
      </c>
    </row>
    <row r="14" spans="1:9" x14ac:dyDescent="0.25">
      <c r="A14" s="70" t="s">
        <v>61</v>
      </c>
      <c r="B14" s="34" t="s">
        <v>8</v>
      </c>
      <c r="C14" s="116">
        <f>C15+C19+C21</f>
        <v>1057539.01</v>
      </c>
      <c r="D14" s="116">
        <f>D15+D19+D21</f>
        <v>1801200</v>
      </c>
      <c r="E14" s="116">
        <f>E15+E19+E21</f>
        <v>2109780</v>
      </c>
      <c r="F14" s="116">
        <f t="shared" ref="F14:G14" si="4">F15+F19+F21</f>
        <v>2122580</v>
      </c>
      <c r="G14" s="116">
        <f t="shared" si="4"/>
        <v>2358560</v>
      </c>
      <c r="I14" s="37"/>
    </row>
    <row r="15" spans="1:9" x14ac:dyDescent="0.25">
      <c r="A15" s="122">
        <v>311</v>
      </c>
      <c r="B15" s="92" t="s">
        <v>80</v>
      </c>
      <c r="C15" s="97">
        <f>C16+C17+C18</f>
        <v>865195.54</v>
      </c>
      <c r="D15" s="97">
        <f t="shared" ref="D15" si="5">D16+D17+D18</f>
        <v>1468000</v>
      </c>
      <c r="E15" s="97">
        <f t="shared" ref="E15" si="6">E16+E17+E18</f>
        <v>1732000</v>
      </c>
      <c r="F15" s="97">
        <f t="shared" ref="F15" si="7">F16+F17+F18</f>
        <v>1740000</v>
      </c>
      <c r="G15" s="97">
        <f t="shared" ref="G15" si="8">G16+G17+G18</f>
        <v>1931150</v>
      </c>
      <c r="I15" s="37"/>
    </row>
    <row r="16" spans="1:9" x14ac:dyDescent="0.25">
      <c r="A16" s="123">
        <v>3111</v>
      </c>
      <c r="B16" s="93" t="s">
        <v>81</v>
      </c>
      <c r="C16" s="97">
        <v>842155.06</v>
      </c>
      <c r="D16" s="97">
        <f>' Račun prihoda i rashoda-ekonom'!E23</f>
        <v>1443200</v>
      </c>
      <c r="E16" s="126">
        <f>' Račun prihoda i rashoda-ekonom'!F23</f>
        <v>1707200</v>
      </c>
      <c r="F16" s="126">
        <f>' Račun prihoda i rashoda-ekonom'!G23</f>
        <v>1717850</v>
      </c>
      <c r="G16" s="126">
        <f>' Račun prihoda i rashoda-ekonom'!H23</f>
        <v>1906650</v>
      </c>
      <c r="I16" s="37"/>
    </row>
    <row r="17" spans="1:9" x14ac:dyDescent="0.25">
      <c r="A17" s="123">
        <v>3113</v>
      </c>
      <c r="B17" s="93" t="s">
        <v>82</v>
      </c>
      <c r="C17" s="97">
        <v>1302.8699999999999</v>
      </c>
      <c r="D17" s="97">
        <f>' Račun prihoda i rashoda-ekonom'!E24</f>
        <v>1000</v>
      </c>
      <c r="E17" s="126">
        <f>' Račun prihoda i rashoda-ekonom'!F24</f>
        <v>1000</v>
      </c>
      <c r="F17" s="126">
        <f>' Račun prihoda i rashoda-ekonom'!G24</f>
        <v>1050</v>
      </c>
      <c r="G17" s="126">
        <f>' Račun prihoda i rashoda-ekonom'!H24</f>
        <v>1200</v>
      </c>
      <c r="I17" s="37"/>
    </row>
    <row r="18" spans="1:9" x14ac:dyDescent="0.25">
      <c r="A18" s="124">
        <v>3114</v>
      </c>
      <c r="B18" s="96" t="s">
        <v>83</v>
      </c>
      <c r="C18" s="97">
        <v>21737.61</v>
      </c>
      <c r="D18" s="97">
        <f>' Račun prihoda i rashoda-ekonom'!E25</f>
        <v>23800</v>
      </c>
      <c r="E18" s="126">
        <f>' Račun prihoda i rashoda-ekonom'!F25</f>
        <v>23800</v>
      </c>
      <c r="F18" s="126">
        <f>' Račun prihoda i rashoda-ekonom'!G25</f>
        <v>21100</v>
      </c>
      <c r="G18" s="126">
        <f>' Račun prihoda i rashoda-ekonom'!H25</f>
        <v>23300</v>
      </c>
      <c r="I18" s="37"/>
    </row>
    <row r="19" spans="1:9" x14ac:dyDescent="0.25">
      <c r="A19" s="122">
        <v>312</v>
      </c>
      <c r="B19" s="95" t="s">
        <v>84</v>
      </c>
      <c r="C19" s="97">
        <f>C20</f>
        <v>49588.5</v>
      </c>
      <c r="D19" s="97">
        <f t="shared" ref="D19" si="9">D20</f>
        <v>91000</v>
      </c>
      <c r="E19" s="97">
        <f t="shared" ref="E19" si="10">E20</f>
        <v>92000</v>
      </c>
      <c r="F19" s="97">
        <f t="shared" ref="F19" si="11">F20</f>
        <v>95480</v>
      </c>
      <c r="G19" s="97">
        <f t="shared" ref="G19" si="12">G20</f>
        <v>108770</v>
      </c>
      <c r="I19" s="37"/>
    </row>
    <row r="20" spans="1:9" x14ac:dyDescent="0.25">
      <c r="A20" s="122">
        <v>3121</v>
      </c>
      <c r="B20" s="93" t="s">
        <v>84</v>
      </c>
      <c r="C20" s="97">
        <v>49588.5</v>
      </c>
      <c r="D20" s="97">
        <f>' Račun prihoda i rashoda-ekonom'!E27</f>
        <v>91000</v>
      </c>
      <c r="E20" s="126">
        <f>' Račun prihoda i rashoda-ekonom'!F27</f>
        <v>92000</v>
      </c>
      <c r="F20" s="126">
        <f>' Račun prihoda i rashoda-ekonom'!G27</f>
        <v>95480</v>
      </c>
      <c r="G20" s="126">
        <f>' Račun prihoda i rashoda-ekonom'!H27</f>
        <v>108770</v>
      </c>
      <c r="I20" s="37"/>
    </row>
    <row r="21" spans="1:9" x14ac:dyDescent="0.25">
      <c r="A21" s="122">
        <v>313</v>
      </c>
      <c r="B21" s="92" t="s">
        <v>85</v>
      </c>
      <c r="C21" s="97">
        <f>C22</f>
        <v>142754.97</v>
      </c>
      <c r="D21" s="97">
        <f>D22</f>
        <v>242200</v>
      </c>
      <c r="E21" s="97">
        <f t="shared" ref="E21:G21" si="13">E22</f>
        <v>285780</v>
      </c>
      <c r="F21" s="97">
        <f t="shared" si="13"/>
        <v>287100</v>
      </c>
      <c r="G21" s="97">
        <f t="shared" si="13"/>
        <v>318640</v>
      </c>
      <c r="I21" s="37"/>
    </row>
    <row r="22" spans="1:9" x14ac:dyDescent="0.25">
      <c r="A22" s="122">
        <v>3132</v>
      </c>
      <c r="B22" s="94" t="s">
        <v>86</v>
      </c>
      <c r="C22" s="97">
        <v>142754.97</v>
      </c>
      <c r="D22" s="97">
        <f>' Račun prihoda i rashoda-ekonom'!E29</f>
        <v>242200</v>
      </c>
      <c r="E22" s="126">
        <f>' Račun prihoda i rashoda-ekonom'!F29</f>
        <v>285780</v>
      </c>
      <c r="F22" s="126">
        <f>' Račun prihoda i rashoda-ekonom'!G29</f>
        <v>287100</v>
      </c>
      <c r="G22" s="126">
        <f>' Račun prihoda i rashoda-ekonom'!H29</f>
        <v>318640</v>
      </c>
      <c r="I22" s="37"/>
    </row>
    <row r="23" spans="1:9" x14ac:dyDescent="0.25">
      <c r="A23" s="70" t="s">
        <v>62</v>
      </c>
      <c r="B23" s="34" t="s">
        <v>17</v>
      </c>
      <c r="C23" s="116">
        <f>C24+C28+C35+C45</f>
        <v>5848598.71</v>
      </c>
      <c r="D23" s="116">
        <f t="shared" ref="D23:G23" si="14">D24+D28+D35+D45</f>
        <v>5456700</v>
      </c>
      <c r="E23" s="116">
        <f t="shared" si="14"/>
        <v>9237720</v>
      </c>
      <c r="F23" s="116">
        <f t="shared" si="14"/>
        <v>6974640</v>
      </c>
      <c r="G23" s="116">
        <f t="shared" si="14"/>
        <v>6486780</v>
      </c>
      <c r="I23" s="37"/>
    </row>
    <row r="24" spans="1:9" x14ac:dyDescent="0.25">
      <c r="A24" s="125">
        <v>321</v>
      </c>
      <c r="B24" s="104" t="s">
        <v>101</v>
      </c>
      <c r="C24" s="97">
        <f>C25+C26+C27</f>
        <v>89994.62</v>
      </c>
      <c r="D24" s="97">
        <f t="shared" ref="D24" si="15">D25+D26+D27</f>
        <v>143000</v>
      </c>
      <c r="E24" s="97">
        <f t="shared" ref="E24" si="16">E25+E26+E27</f>
        <v>140000</v>
      </c>
      <c r="F24" s="97">
        <f t="shared" ref="F24" si="17">F25+F26+F27</f>
        <v>131890</v>
      </c>
      <c r="G24" s="97">
        <f t="shared" ref="G24" si="18">G25+G26+G27</f>
        <v>147000</v>
      </c>
      <c r="I24" s="37"/>
    </row>
    <row r="25" spans="1:9" x14ac:dyDescent="0.25">
      <c r="A25" s="125">
        <v>3211</v>
      </c>
      <c r="B25" s="105" t="s">
        <v>102</v>
      </c>
      <c r="C25" s="97">
        <v>27356.639999999999</v>
      </c>
      <c r="D25" s="97">
        <f>' Račun prihoda i rashoda-ekonom'!E32</f>
        <v>65000</v>
      </c>
      <c r="E25" s="126">
        <f>' Račun prihoda i rashoda-ekonom'!F32</f>
        <v>60000</v>
      </c>
      <c r="F25" s="126">
        <f>' Račun prihoda i rashoda-ekonom'!G32</f>
        <v>59390</v>
      </c>
      <c r="G25" s="126">
        <f>' Račun prihoda i rashoda-ekonom'!H32</f>
        <v>66500</v>
      </c>
      <c r="I25" s="37"/>
    </row>
    <row r="26" spans="1:9" x14ac:dyDescent="0.25">
      <c r="A26" s="125">
        <v>3212</v>
      </c>
      <c r="B26" s="103" t="s">
        <v>103</v>
      </c>
      <c r="C26" s="97">
        <v>53053.79</v>
      </c>
      <c r="D26" s="97">
        <f>' Račun prihoda i rashoda-ekonom'!E33</f>
        <v>58000</v>
      </c>
      <c r="E26" s="126">
        <f>' Račun prihoda i rashoda-ekonom'!F33</f>
        <v>60000</v>
      </c>
      <c r="F26" s="126">
        <f>' Račun prihoda i rashoda-ekonom'!G33</f>
        <v>54900</v>
      </c>
      <c r="G26" s="126">
        <f>' Račun prihoda i rashoda-ekonom'!H33</f>
        <v>61500</v>
      </c>
      <c r="I26" s="37"/>
    </row>
    <row r="27" spans="1:9" x14ac:dyDescent="0.25">
      <c r="A27" s="125">
        <v>3213</v>
      </c>
      <c r="B27" s="105" t="s">
        <v>104</v>
      </c>
      <c r="C27" s="97">
        <v>9584.19</v>
      </c>
      <c r="D27" s="97">
        <f>' Račun prihoda i rashoda-ekonom'!E34</f>
        <v>20000</v>
      </c>
      <c r="E27" s="126">
        <f>' Račun prihoda i rashoda-ekonom'!F34</f>
        <v>20000</v>
      </c>
      <c r="F27" s="126">
        <f>' Račun prihoda i rashoda-ekonom'!G34</f>
        <v>17600</v>
      </c>
      <c r="G27" s="126">
        <f>' Račun prihoda i rashoda-ekonom'!H34</f>
        <v>19000</v>
      </c>
      <c r="I27" s="37"/>
    </row>
    <row r="28" spans="1:9" x14ac:dyDescent="0.25">
      <c r="A28" s="125">
        <v>322</v>
      </c>
      <c r="B28" s="106" t="s">
        <v>105</v>
      </c>
      <c r="C28" s="97">
        <f>C29+C30+C31+C32+C33+C34</f>
        <v>334804.22000000003</v>
      </c>
      <c r="D28" s="97">
        <f t="shared" ref="D28" si="19">D29+D30+D31+D32+D33+D34</f>
        <v>604000</v>
      </c>
      <c r="E28" s="97">
        <f t="shared" ref="E28" si="20">E29+E30+E31+E32+E33+E34</f>
        <v>615000</v>
      </c>
      <c r="F28" s="97">
        <f t="shared" ref="F28" si="21">F29+F30+F31+F32+F33+F34</f>
        <v>582200</v>
      </c>
      <c r="G28" s="97">
        <f t="shared" ref="G28" si="22">G29+G30+G31+G32+G33+G34</f>
        <v>718200</v>
      </c>
      <c r="I28" s="37"/>
    </row>
    <row r="29" spans="1:9" x14ac:dyDescent="0.25">
      <c r="A29" s="125">
        <v>3221</v>
      </c>
      <c r="B29" s="105" t="s">
        <v>106</v>
      </c>
      <c r="C29" s="97">
        <v>10598.67</v>
      </c>
      <c r="D29" s="97">
        <f>' Račun prihoda i rashoda-ekonom'!E36</f>
        <v>13000</v>
      </c>
      <c r="E29" s="163">
        <f>' Račun prihoda i rashoda-ekonom'!F36</f>
        <v>13000</v>
      </c>
      <c r="F29" s="126">
        <f>' Račun prihoda i rashoda-ekonom'!G36</f>
        <v>13200</v>
      </c>
      <c r="G29" s="126">
        <f>' Račun prihoda i rashoda-ekonom'!H36</f>
        <v>14250</v>
      </c>
      <c r="I29" s="37"/>
    </row>
    <row r="30" spans="1:9" x14ac:dyDescent="0.25">
      <c r="A30" s="125">
        <v>3222</v>
      </c>
      <c r="B30" s="105" t="s">
        <v>107</v>
      </c>
      <c r="C30" s="97">
        <v>100097.32</v>
      </c>
      <c r="D30" s="97">
        <f>' Račun prihoda i rashoda-ekonom'!E37</f>
        <v>100000</v>
      </c>
      <c r="E30" s="163">
        <f>' Račun prihoda i rashoda-ekonom'!F37</f>
        <v>120000</v>
      </c>
      <c r="F30" s="126">
        <f>' Račun prihoda i rashoda-ekonom'!G37</f>
        <v>123200</v>
      </c>
      <c r="G30" s="126">
        <f>' Račun prihoda i rashoda-ekonom'!H37</f>
        <v>142500</v>
      </c>
      <c r="I30" s="37"/>
    </row>
    <row r="31" spans="1:9" x14ac:dyDescent="0.25">
      <c r="A31" s="125">
        <v>3223</v>
      </c>
      <c r="B31" s="105" t="s">
        <v>108</v>
      </c>
      <c r="C31" s="97">
        <v>178453.92</v>
      </c>
      <c r="D31" s="97">
        <f>' Račun prihoda i rashoda-ekonom'!E38</f>
        <v>200000</v>
      </c>
      <c r="E31" s="163">
        <f>' Račun prihoda i rashoda-ekonom'!F38</f>
        <v>200000</v>
      </c>
      <c r="F31" s="126">
        <f>' Račun prihoda i rashoda-ekonom'!G38</f>
        <v>202400</v>
      </c>
      <c r="G31" s="126">
        <f>' Račun prihoda i rashoda-ekonom'!H38</f>
        <v>218500</v>
      </c>
      <c r="I31" s="37"/>
    </row>
    <row r="32" spans="1:9" x14ac:dyDescent="0.25">
      <c r="A32" s="125">
        <v>3224</v>
      </c>
      <c r="B32" s="103" t="s">
        <v>109</v>
      </c>
      <c r="C32" s="97">
        <v>43954.67</v>
      </c>
      <c r="D32" s="97">
        <f>' Račun prihoda i rashoda-ekonom'!E39</f>
        <v>260000</v>
      </c>
      <c r="E32" s="163">
        <f>' Račun prihoda i rashoda-ekonom'!F39</f>
        <v>260000</v>
      </c>
      <c r="F32" s="126">
        <f>' Račun prihoda i rashoda-ekonom'!G39</f>
        <v>217000</v>
      </c>
      <c r="G32" s="126">
        <f>' Račun prihoda i rashoda-ekonom'!H39</f>
        <v>313500</v>
      </c>
      <c r="I32" s="37"/>
    </row>
    <row r="33" spans="1:9" x14ac:dyDescent="0.25">
      <c r="A33" s="125">
        <v>3225</v>
      </c>
      <c r="B33" s="105" t="s">
        <v>110</v>
      </c>
      <c r="C33" s="97">
        <v>1699.64</v>
      </c>
      <c r="D33" s="97">
        <f>' Račun prihoda i rashoda-ekonom'!E40</f>
        <v>2000</v>
      </c>
      <c r="E33" s="163">
        <f>' Račun prihoda i rashoda-ekonom'!F40</f>
        <v>2000</v>
      </c>
      <c r="F33" s="126">
        <f>' Račun prihoda i rashoda-ekonom'!G40</f>
        <v>1760</v>
      </c>
      <c r="G33" s="126">
        <f>' Račun prihoda i rashoda-ekonom'!H40</f>
        <v>1900</v>
      </c>
      <c r="I33" s="37"/>
    </row>
    <row r="34" spans="1:9" x14ac:dyDescent="0.25">
      <c r="A34" s="125">
        <v>3227</v>
      </c>
      <c r="B34" s="105" t="s">
        <v>111</v>
      </c>
      <c r="C34" s="97">
        <v>0</v>
      </c>
      <c r="D34" s="97">
        <f>' Račun prihoda i rashoda-ekonom'!E41</f>
        <v>29000</v>
      </c>
      <c r="E34" s="163">
        <f>' Račun prihoda i rashoda-ekonom'!F41</f>
        <v>20000</v>
      </c>
      <c r="F34" s="126">
        <f>' Račun prihoda i rashoda-ekonom'!G41</f>
        <v>24640</v>
      </c>
      <c r="G34" s="126">
        <f>' Račun prihoda i rashoda-ekonom'!H41</f>
        <v>27550</v>
      </c>
      <c r="I34" s="37"/>
    </row>
    <row r="35" spans="1:9" x14ac:dyDescent="0.25">
      <c r="A35" s="125">
        <v>323</v>
      </c>
      <c r="B35" s="106" t="s">
        <v>112</v>
      </c>
      <c r="C35" s="97">
        <f>C36+C37+C38+C39+C40+C41+C42+C43+C44</f>
        <v>5377915.8399999999</v>
      </c>
      <c r="D35" s="97">
        <f t="shared" ref="D35" si="23">D36+D37+D38+D39+D40+D41+D42+D43+D44</f>
        <v>4637400</v>
      </c>
      <c r="E35" s="127">
        <f t="shared" ref="E35" si="24">E36+E37+E38+E39+E40+E41+E42+E43+E44</f>
        <v>8414200</v>
      </c>
      <c r="F35" s="97">
        <f t="shared" ref="F35" si="25">F36+F37+F38+F39+F40+F41+F42+F43+F44</f>
        <v>6195760</v>
      </c>
      <c r="G35" s="97">
        <f t="shared" ref="G35" si="26">G36+G37+G38+G39+G40+G41+G42+G43+G44</f>
        <v>5552500</v>
      </c>
      <c r="I35" s="37"/>
    </row>
    <row r="36" spans="1:9" x14ac:dyDescent="0.25">
      <c r="A36" s="125">
        <v>3231</v>
      </c>
      <c r="B36" s="101" t="s">
        <v>113</v>
      </c>
      <c r="C36" s="97">
        <v>8991.68</v>
      </c>
      <c r="D36" s="97">
        <f>' Račun prihoda i rashoda-ekonom'!E43</f>
        <v>29100</v>
      </c>
      <c r="E36" s="163">
        <f>' Račun prihoda i rashoda-ekonom'!F43</f>
        <v>29100</v>
      </c>
      <c r="F36" s="126">
        <f>' Račun prihoda i rashoda-ekonom'!G43</f>
        <v>30800</v>
      </c>
      <c r="G36" s="126">
        <f>' Račun prihoda i rashoda-ekonom'!H43</f>
        <v>30300</v>
      </c>
      <c r="I36" s="37"/>
    </row>
    <row r="37" spans="1:9" x14ac:dyDescent="0.25">
      <c r="A37" s="125">
        <v>3232</v>
      </c>
      <c r="B37" s="105" t="s">
        <v>114</v>
      </c>
      <c r="C37" s="97">
        <v>236238.19</v>
      </c>
      <c r="D37" s="97">
        <f>' Račun prihoda i rashoda-ekonom'!E44</f>
        <v>400000</v>
      </c>
      <c r="E37" s="163">
        <f>' Račun prihoda i rashoda-ekonom'!F44</f>
        <v>400000</v>
      </c>
      <c r="F37" s="126">
        <f>' Račun prihoda i rashoda-ekonom'!G44</f>
        <v>300000</v>
      </c>
      <c r="G37" s="126">
        <f>' Račun prihoda i rashoda-ekonom'!H44</f>
        <v>375700</v>
      </c>
      <c r="I37" s="37"/>
    </row>
    <row r="38" spans="1:9" x14ac:dyDescent="0.25">
      <c r="A38" s="125">
        <v>3233</v>
      </c>
      <c r="B38" s="105" t="s">
        <v>115</v>
      </c>
      <c r="C38" s="97">
        <v>0</v>
      </c>
      <c r="D38" s="97">
        <f>' Račun prihoda i rashoda-ekonom'!E45</f>
        <v>3500</v>
      </c>
      <c r="E38" s="163">
        <f>' Račun prihoda i rashoda-ekonom'!F45</f>
        <v>3500</v>
      </c>
      <c r="F38" s="126">
        <f>' Račun prihoda i rashoda-ekonom'!G45</f>
        <v>15800</v>
      </c>
      <c r="G38" s="126">
        <f>' Račun prihoda i rashoda-ekonom'!H45</f>
        <v>18000</v>
      </c>
      <c r="I38" s="37"/>
    </row>
    <row r="39" spans="1:9" x14ac:dyDescent="0.25">
      <c r="A39" s="125">
        <v>3234</v>
      </c>
      <c r="B39" s="101" t="s">
        <v>116</v>
      </c>
      <c r="C39" s="97">
        <v>8977.66</v>
      </c>
      <c r="D39" s="97">
        <f>' Račun prihoda i rashoda-ekonom'!E46</f>
        <v>13700</v>
      </c>
      <c r="E39" s="126">
        <f>' Račun prihoda i rashoda-ekonom'!F46</f>
        <v>13700</v>
      </c>
      <c r="F39" s="126">
        <f>' Račun prihoda i rashoda-ekonom'!G46</f>
        <v>12360</v>
      </c>
      <c r="G39" s="126">
        <f>' Račun prihoda i rashoda-ekonom'!H46</f>
        <v>13300</v>
      </c>
      <c r="I39" s="37"/>
    </row>
    <row r="40" spans="1:9" x14ac:dyDescent="0.25">
      <c r="A40" s="125">
        <v>3235</v>
      </c>
      <c r="B40" s="105" t="s">
        <v>117</v>
      </c>
      <c r="C40" s="97">
        <v>87037.02</v>
      </c>
      <c r="D40" s="97">
        <f>' Račun prihoda i rashoda-ekonom'!E47</f>
        <v>120000</v>
      </c>
      <c r="E40" s="126">
        <f>' Račun prihoda i rashoda-ekonom'!F47</f>
        <v>185000</v>
      </c>
      <c r="F40" s="126">
        <f>' Račun prihoda i rashoda-ekonom'!G47</f>
        <v>163000</v>
      </c>
      <c r="G40" s="126">
        <f>' Račun prihoda i rashoda-ekonom'!H47</f>
        <v>176700</v>
      </c>
      <c r="I40" s="37"/>
    </row>
    <row r="41" spans="1:9" x14ac:dyDescent="0.25">
      <c r="A41" s="125">
        <v>3236</v>
      </c>
      <c r="B41" s="101" t="s">
        <v>118</v>
      </c>
      <c r="C41" s="97">
        <v>326.24</v>
      </c>
      <c r="D41" s="97">
        <f>' Račun prihoda i rashoda-ekonom'!E48</f>
        <v>30900</v>
      </c>
      <c r="E41" s="126">
        <f>' Račun prihoda i rashoda-ekonom'!F48</f>
        <v>30900</v>
      </c>
      <c r="F41" s="126">
        <f>' Račun prihoda i rashoda-ekonom'!G48</f>
        <v>31600</v>
      </c>
      <c r="G41" s="126">
        <f>' Račun prihoda i rashoda-ekonom'!H48</f>
        <v>33000</v>
      </c>
      <c r="I41" s="37"/>
    </row>
    <row r="42" spans="1:9" x14ac:dyDescent="0.25">
      <c r="A42" s="125">
        <v>3237</v>
      </c>
      <c r="B42" s="105" t="s">
        <v>119</v>
      </c>
      <c r="C42" s="97">
        <v>137464.78</v>
      </c>
      <c r="D42" s="97">
        <f>' Račun prihoda i rashoda-ekonom'!E49</f>
        <v>125000</v>
      </c>
      <c r="E42" s="126">
        <f>' Račun prihoda i rashoda-ekonom'!F49</f>
        <v>125000</v>
      </c>
      <c r="F42" s="126">
        <f>' Račun prihoda i rashoda-ekonom'!G49</f>
        <v>114400</v>
      </c>
      <c r="G42" s="126">
        <f>' Račun prihoda i rashoda-ekonom'!H49</f>
        <v>123500</v>
      </c>
      <c r="I42" s="37"/>
    </row>
    <row r="43" spans="1:9" x14ac:dyDescent="0.25">
      <c r="A43" s="125">
        <v>3238</v>
      </c>
      <c r="B43" s="101" t="s">
        <v>120</v>
      </c>
      <c r="C43" s="97">
        <v>74406.77</v>
      </c>
      <c r="D43" s="97">
        <f>' Račun prihoda i rashoda-ekonom'!E50</f>
        <v>57000</v>
      </c>
      <c r="E43" s="126">
        <f>' Račun prihoda i rashoda-ekonom'!F50</f>
        <v>57000</v>
      </c>
      <c r="F43" s="126">
        <f>' Račun prihoda i rashoda-ekonom'!G50</f>
        <v>52800</v>
      </c>
      <c r="G43" s="126">
        <f>' Račun prihoda i rashoda-ekonom'!H50</f>
        <v>57000</v>
      </c>
      <c r="I43" s="37"/>
    </row>
    <row r="44" spans="1:9" x14ac:dyDescent="0.25">
      <c r="A44" s="125">
        <v>3239</v>
      </c>
      <c r="B44" s="105" t="s">
        <v>121</v>
      </c>
      <c r="C44" s="97">
        <v>4824473.5</v>
      </c>
      <c r="D44" s="97">
        <f>' Račun prihoda i rashoda-ekonom'!E51</f>
        <v>3858200</v>
      </c>
      <c r="E44" s="126">
        <f>' Račun prihoda i rashoda-ekonom'!F51</f>
        <v>7570000</v>
      </c>
      <c r="F44" s="126">
        <f>' Račun prihoda i rashoda-ekonom'!G51</f>
        <v>5475000</v>
      </c>
      <c r="G44" s="126">
        <f>' Račun prihoda i rashoda-ekonom'!H51</f>
        <v>4725000</v>
      </c>
      <c r="I44" s="37"/>
    </row>
    <row r="45" spans="1:9" x14ac:dyDescent="0.25">
      <c r="A45" s="125">
        <v>329</v>
      </c>
      <c r="B45" s="104" t="s">
        <v>122</v>
      </c>
      <c r="C45" s="97">
        <f>C46+C47+C48+C49+C50+C51</f>
        <v>45884.03</v>
      </c>
      <c r="D45" s="97">
        <f t="shared" ref="D45" si="27">D46+D47+D48+D49+D50+D51</f>
        <v>72300</v>
      </c>
      <c r="E45" s="97">
        <f t="shared" ref="E45" si="28">E46+E47+E48+E49+E50+E51</f>
        <v>68520</v>
      </c>
      <c r="F45" s="97">
        <f t="shared" ref="F45" si="29">F46+F47+F48+F49+F50+F51</f>
        <v>64790</v>
      </c>
      <c r="G45" s="97">
        <f t="shared" ref="G45" si="30">G46+G47+G48+G49+G50+G51</f>
        <v>69080</v>
      </c>
      <c r="I45" s="37"/>
    </row>
    <row r="46" spans="1:9" ht="26.5" x14ac:dyDescent="0.25">
      <c r="A46" s="125">
        <v>3291</v>
      </c>
      <c r="B46" s="103" t="s">
        <v>123</v>
      </c>
      <c r="C46" s="97">
        <v>24848.75</v>
      </c>
      <c r="D46" s="97">
        <f>' Račun prihoda i rashoda-ekonom'!E53</f>
        <v>25000</v>
      </c>
      <c r="E46" s="126">
        <f>' Račun prihoda i rashoda-ekonom'!F53</f>
        <v>25000</v>
      </c>
      <c r="F46" s="126">
        <f>' Račun prihoda i rashoda-ekonom'!G53</f>
        <v>22000</v>
      </c>
      <c r="G46" s="126">
        <f>' Račun prihoda i rashoda-ekonom'!H53</f>
        <v>23750</v>
      </c>
      <c r="I46" s="37"/>
    </row>
    <row r="47" spans="1:9" x14ac:dyDescent="0.25">
      <c r="A47" s="125">
        <v>3292</v>
      </c>
      <c r="B47" s="101" t="s">
        <v>124</v>
      </c>
      <c r="C47" s="97">
        <v>4170.5200000000004</v>
      </c>
      <c r="D47" s="97">
        <f>' Račun prihoda i rashoda-ekonom'!E54</f>
        <v>26000</v>
      </c>
      <c r="E47" s="126">
        <f>' Račun prihoda i rashoda-ekonom'!F54</f>
        <v>22220</v>
      </c>
      <c r="F47" s="126">
        <f>' Račun prihoda i rashoda-ekonom'!G54</f>
        <v>22990</v>
      </c>
      <c r="G47" s="126">
        <f>' Račun prihoda i rashoda-ekonom'!H54</f>
        <v>24700</v>
      </c>
      <c r="I47" s="37"/>
    </row>
    <row r="48" spans="1:9" x14ac:dyDescent="0.25">
      <c r="A48" s="125">
        <v>3293</v>
      </c>
      <c r="B48" s="105" t="s">
        <v>125</v>
      </c>
      <c r="C48" s="97">
        <v>5071.05</v>
      </c>
      <c r="D48" s="97">
        <f>' Račun prihoda i rashoda-ekonom'!E55</f>
        <v>5000</v>
      </c>
      <c r="E48" s="126">
        <f>' Račun prihoda i rashoda-ekonom'!F55</f>
        <v>5000</v>
      </c>
      <c r="F48" s="126">
        <f>' Račun prihoda i rashoda-ekonom'!G55</f>
        <v>4400</v>
      </c>
      <c r="G48" s="126">
        <f>' Račun prihoda i rashoda-ekonom'!H55</f>
        <v>4750</v>
      </c>
      <c r="I48" s="37"/>
    </row>
    <row r="49" spans="1:9" x14ac:dyDescent="0.25">
      <c r="A49" s="125">
        <v>3294</v>
      </c>
      <c r="B49" s="101" t="s">
        <v>126</v>
      </c>
      <c r="C49" s="97">
        <v>927.37</v>
      </c>
      <c r="D49" s="97">
        <f>' Račun prihoda i rashoda-ekonom'!E56</f>
        <v>1000</v>
      </c>
      <c r="E49" s="126">
        <f>' Račun prihoda i rashoda-ekonom'!F56</f>
        <v>1000</v>
      </c>
      <c r="F49" s="126">
        <f>' Račun prihoda i rashoda-ekonom'!G56</f>
        <v>1760</v>
      </c>
      <c r="G49" s="126">
        <f>' Račun prihoda i rashoda-ekonom'!H56</f>
        <v>1900</v>
      </c>
      <c r="I49" s="37"/>
    </row>
    <row r="50" spans="1:9" x14ac:dyDescent="0.25">
      <c r="A50" s="125">
        <v>3295</v>
      </c>
      <c r="B50" s="105" t="s">
        <v>127</v>
      </c>
      <c r="C50" s="97">
        <v>10237.200000000001</v>
      </c>
      <c r="D50" s="97">
        <f>' Račun prihoda i rashoda-ekonom'!E57</f>
        <v>15000</v>
      </c>
      <c r="E50" s="126">
        <f>' Račun prihoda i rashoda-ekonom'!F57</f>
        <v>15000</v>
      </c>
      <c r="F50" s="126">
        <f>' Račun prihoda i rashoda-ekonom'!G57</f>
        <v>13200</v>
      </c>
      <c r="G50" s="126">
        <f>' Račun prihoda i rashoda-ekonom'!H57</f>
        <v>13500</v>
      </c>
      <c r="I50" s="37"/>
    </row>
    <row r="51" spans="1:9" x14ac:dyDescent="0.25">
      <c r="A51" s="125">
        <v>3299</v>
      </c>
      <c r="B51" s="101" t="s">
        <v>122</v>
      </c>
      <c r="C51" s="97">
        <v>629.14</v>
      </c>
      <c r="D51" s="97">
        <f>' Račun prihoda i rashoda-ekonom'!E58</f>
        <v>300</v>
      </c>
      <c r="E51" s="126">
        <f>' Račun prihoda i rashoda-ekonom'!F58</f>
        <v>300</v>
      </c>
      <c r="F51" s="126">
        <f>' Račun prihoda i rashoda-ekonom'!G58</f>
        <v>440</v>
      </c>
      <c r="G51" s="126">
        <f>' Račun prihoda i rashoda-ekonom'!H58</f>
        <v>480</v>
      </c>
      <c r="I51" s="37"/>
    </row>
    <row r="52" spans="1:9" ht="25.85" x14ac:dyDescent="0.25">
      <c r="A52" s="70">
        <v>37</v>
      </c>
      <c r="B52" s="34" t="s">
        <v>63</v>
      </c>
      <c r="C52" s="116">
        <f>C53</f>
        <v>5484</v>
      </c>
      <c r="D52" s="116">
        <f t="shared" ref="D52:G53" si="31">D53</f>
        <v>0</v>
      </c>
      <c r="E52" s="116">
        <f t="shared" si="31"/>
        <v>0</v>
      </c>
      <c r="F52" s="116">
        <f t="shared" si="31"/>
        <v>0</v>
      </c>
      <c r="G52" s="116">
        <f t="shared" si="31"/>
        <v>0</v>
      </c>
      <c r="I52" s="37"/>
    </row>
    <row r="53" spans="1:9" x14ac:dyDescent="0.25">
      <c r="A53" s="125">
        <v>372</v>
      </c>
      <c r="B53" s="103" t="s">
        <v>99</v>
      </c>
      <c r="C53" s="97">
        <f>C54</f>
        <v>5484</v>
      </c>
      <c r="D53" s="97">
        <f t="shared" ref="D53" si="32">D54</f>
        <v>0</v>
      </c>
      <c r="E53" s="97">
        <f t="shared" si="31"/>
        <v>0</v>
      </c>
      <c r="F53" s="97">
        <f t="shared" si="31"/>
        <v>0</v>
      </c>
      <c r="G53" s="97">
        <f t="shared" si="31"/>
        <v>0</v>
      </c>
      <c r="I53" s="37"/>
    </row>
    <row r="54" spans="1:9" x14ac:dyDescent="0.25">
      <c r="A54" s="125">
        <v>3721</v>
      </c>
      <c r="B54" s="101" t="s">
        <v>100</v>
      </c>
      <c r="C54" s="97">
        <v>5484</v>
      </c>
      <c r="D54" s="97">
        <f>' Račun prihoda i rashoda-ekonom'!E61</f>
        <v>0</v>
      </c>
      <c r="E54" s="126">
        <f>' Račun prihoda i rashoda-ekonom'!F61</f>
        <v>0</v>
      </c>
      <c r="F54" s="126">
        <f>' Račun prihoda i rashoda-ekonom'!G61</f>
        <v>0</v>
      </c>
      <c r="G54" s="126">
        <f>' Račun prihoda i rashoda-ekonom'!H61</f>
        <v>0</v>
      </c>
      <c r="I54" s="37"/>
    </row>
    <row r="55" spans="1:9" x14ac:dyDescent="0.25">
      <c r="A55" s="118">
        <v>4</v>
      </c>
      <c r="B55" s="16" t="s">
        <v>9</v>
      </c>
      <c r="C55" s="112">
        <f>C56+C59</f>
        <v>119841.88</v>
      </c>
      <c r="D55" s="112">
        <f t="shared" ref="D55:G55" si="33">D56+D59</f>
        <v>280100</v>
      </c>
      <c r="E55" s="112">
        <f t="shared" si="33"/>
        <v>617500</v>
      </c>
      <c r="F55" s="112">
        <f t="shared" si="33"/>
        <v>202780</v>
      </c>
      <c r="G55" s="112">
        <f t="shared" si="33"/>
        <v>254660</v>
      </c>
      <c r="I55" s="37"/>
    </row>
    <row r="56" spans="1:9" x14ac:dyDescent="0.25">
      <c r="A56" s="70" t="s">
        <v>64</v>
      </c>
      <c r="B56" s="34" t="s">
        <v>10</v>
      </c>
      <c r="C56" s="116">
        <f>C57</f>
        <v>6056.38</v>
      </c>
      <c r="D56" s="116">
        <f t="shared" ref="D56:G57" si="34">D57</f>
        <v>561</v>
      </c>
      <c r="E56" s="116">
        <f t="shared" si="34"/>
        <v>0</v>
      </c>
      <c r="F56" s="116">
        <f t="shared" si="34"/>
        <v>0</v>
      </c>
      <c r="G56" s="116">
        <f t="shared" si="34"/>
        <v>0</v>
      </c>
      <c r="I56" s="37"/>
    </row>
    <row r="57" spans="1:9" x14ac:dyDescent="0.25">
      <c r="A57" s="121">
        <v>412</v>
      </c>
      <c r="B57" s="102" t="s">
        <v>97</v>
      </c>
      <c r="C57" s="113">
        <f>C58</f>
        <v>6056.38</v>
      </c>
      <c r="D57" s="113">
        <f t="shared" ref="D57" si="35">D58</f>
        <v>561</v>
      </c>
      <c r="E57" s="113">
        <f t="shared" si="34"/>
        <v>0</v>
      </c>
      <c r="F57" s="113">
        <f t="shared" si="34"/>
        <v>0</v>
      </c>
      <c r="G57" s="113">
        <f t="shared" si="34"/>
        <v>0</v>
      </c>
      <c r="I57" s="37"/>
    </row>
    <row r="58" spans="1:9" x14ac:dyDescent="0.25">
      <c r="A58" s="121">
        <v>4123</v>
      </c>
      <c r="B58" s="101" t="s">
        <v>98</v>
      </c>
      <c r="C58" s="113">
        <v>6056.38</v>
      </c>
      <c r="D58" s="113">
        <f>' Račun prihoda i rashoda-ekonom'!E65</f>
        <v>561</v>
      </c>
      <c r="E58" s="126">
        <f>' Račun prihoda i rashoda-ekonom'!F65</f>
        <v>0</v>
      </c>
      <c r="F58" s="126">
        <f>' Račun prihoda i rashoda-ekonom'!G65</f>
        <v>0</v>
      </c>
      <c r="G58" s="126">
        <f>' Račun prihoda i rashoda-ekonom'!H65</f>
        <v>0</v>
      </c>
      <c r="I58" s="37"/>
    </row>
    <row r="59" spans="1:9" x14ac:dyDescent="0.25">
      <c r="A59" s="70" t="s">
        <v>65</v>
      </c>
      <c r="B59" s="34" t="s">
        <v>66</v>
      </c>
      <c r="C59" s="116">
        <f>C60+C66+C68</f>
        <v>113785.5</v>
      </c>
      <c r="D59" s="116">
        <f t="shared" ref="D59:G59" si="36">D60+D66+D68</f>
        <v>279539</v>
      </c>
      <c r="E59" s="116">
        <f t="shared" si="36"/>
        <v>617500</v>
      </c>
      <c r="F59" s="116">
        <f t="shared" si="36"/>
        <v>202780</v>
      </c>
      <c r="G59" s="116">
        <f t="shared" si="36"/>
        <v>254660</v>
      </c>
      <c r="I59" s="37"/>
    </row>
    <row r="60" spans="1:9" x14ac:dyDescent="0.25">
      <c r="A60" s="121">
        <v>422</v>
      </c>
      <c r="B60" s="104" t="s">
        <v>87</v>
      </c>
      <c r="C60" s="97">
        <f>C61+C62+C63+C64+C65</f>
        <v>111443.75</v>
      </c>
      <c r="D60" s="97">
        <f t="shared" ref="D60:G60" si="37">D61+D62+D63+D64+D65</f>
        <v>279539</v>
      </c>
      <c r="E60" s="97">
        <f t="shared" si="37"/>
        <v>617500</v>
      </c>
      <c r="F60" s="97">
        <f t="shared" si="37"/>
        <v>202780</v>
      </c>
      <c r="G60" s="97">
        <f t="shared" si="37"/>
        <v>254660</v>
      </c>
      <c r="I60" s="46"/>
    </row>
    <row r="61" spans="1:9" x14ac:dyDescent="0.25">
      <c r="A61" s="121">
        <v>4221</v>
      </c>
      <c r="B61" s="105" t="s">
        <v>88</v>
      </c>
      <c r="C61" s="97">
        <v>62749.07</v>
      </c>
      <c r="D61" s="97">
        <f>' Račun prihoda i rashoda-ekonom'!E68</f>
        <v>59000</v>
      </c>
      <c r="E61" s="97">
        <f>' Račun prihoda i rashoda-ekonom'!F68</f>
        <v>59000</v>
      </c>
      <c r="F61" s="97">
        <f>' Račun prihoda i rashoda-ekonom'!G68</f>
        <v>44000</v>
      </c>
      <c r="G61" s="97">
        <f>' Račun prihoda i rashoda-ekonom'!H68</f>
        <v>60000</v>
      </c>
      <c r="I61" s="46"/>
    </row>
    <row r="62" spans="1:9" x14ac:dyDescent="0.25">
      <c r="A62" s="121">
        <v>4222</v>
      </c>
      <c r="B62" s="101" t="s">
        <v>89</v>
      </c>
      <c r="C62" s="97">
        <v>17862.18</v>
      </c>
      <c r="D62" s="97">
        <f>' Račun prihoda i rashoda-ekonom'!E69</f>
        <v>5039</v>
      </c>
      <c r="E62" s="97">
        <f>' Račun prihoda i rashoda-ekonom'!F69</f>
        <v>4000</v>
      </c>
      <c r="F62" s="97">
        <f>' Račun prihoda i rashoda-ekonom'!G69</f>
        <v>2640</v>
      </c>
      <c r="G62" s="97">
        <f>' Račun prihoda i rashoda-ekonom'!H69</f>
        <v>2500</v>
      </c>
      <c r="I62" s="46"/>
    </row>
    <row r="63" spans="1:9" x14ac:dyDescent="0.25">
      <c r="A63" s="121">
        <v>4223</v>
      </c>
      <c r="B63" s="105" t="s">
        <v>90</v>
      </c>
      <c r="C63" s="97">
        <v>0</v>
      </c>
      <c r="D63" s="97">
        <f>' Račun prihoda i rashoda-ekonom'!E70</f>
        <v>0</v>
      </c>
      <c r="E63" s="97">
        <f>' Račun prihoda i rashoda-ekonom'!F70</f>
        <v>1500</v>
      </c>
      <c r="F63" s="97">
        <f>' Račun prihoda i rashoda-ekonom'!G70</f>
        <v>1500</v>
      </c>
      <c r="G63" s="97">
        <f>' Račun prihoda i rashoda-ekonom'!H70</f>
        <v>1500</v>
      </c>
      <c r="I63" s="49"/>
    </row>
    <row r="64" spans="1:9" x14ac:dyDescent="0.25">
      <c r="A64" s="121">
        <v>4224</v>
      </c>
      <c r="B64" s="105" t="s">
        <v>91</v>
      </c>
      <c r="C64" s="97">
        <v>5832.5</v>
      </c>
      <c r="D64" s="97">
        <f>' Račun prihoda i rashoda-ekonom'!E71</f>
        <v>213800</v>
      </c>
      <c r="E64" s="97">
        <f>' Račun prihoda i rashoda-ekonom'!F71</f>
        <v>550000</v>
      </c>
      <c r="F64" s="97">
        <f>' Račun prihoda i rashoda-ekonom'!G71</f>
        <v>152000</v>
      </c>
      <c r="G64" s="97">
        <f>' Račun prihoda i rashoda-ekonom'!H71</f>
        <v>188000</v>
      </c>
    </row>
    <row r="65" spans="1:7" x14ac:dyDescent="0.25">
      <c r="A65" s="121">
        <v>4227</v>
      </c>
      <c r="B65" s="105" t="s">
        <v>92</v>
      </c>
      <c r="C65" s="97">
        <v>25000</v>
      </c>
      <c r="D65" s="97">
        <f>' Račun prihoda i rashoda-ekonom'!E72</f>
        <v>1700</v>
      </c>
      <c r="E65" s="97">
        <f>' Račun prihoda i rashoda-ekonom'!F72</f>
        <v>3000</v>
      </c>
      <c r="F65" s="97">
        <f>' Račun prihoda i rashoda-ekonom'!G72</f>
        <v>2640</v>
      </c>
      <c r="G65" s="97">
        <f>' Račun prihoda i rashoda-ekonom'!H72</f>
        <v>2660</v>
      </c>
    </row>
    <row r="66" spans="1:7" x14ac:dyDescent="0.25">
      <c r="A66" s="121">
        <v>423</v>
      </c>
      <c r="B66" s="106" t="s">
        <v>93</v>
      </c>
      <c r="C66" s="97">
        <f>C67</f>
        <v>2341.75</v>
      </c>
      <c r="D66" s="97">
        <f t="shared" ref="D66:G66" si="38">D67</f>
        <v>0</v>
      </c>
      <c r="E66" s="97">
        <f t="shared" si="38"/>
        <v>0</v>
      </c>
      <c r="F66" s="97">
        <f t="shared" si="38"/>
        <v>0</v>
      </c>
      <c r="G66" s="97">
        <f t="shared" si="38"/>
        <v>0</v>
      </c>
    </row>
    <row r="67" spans="1:7" x14ac:dyDescent="0.25">
      <c r="A67" s="121">
        <v>4233</v>
      </c>
      <c r="B67" s="105" t="s">
        <v>94</v>
      </c>
      <c r="C67" s="97">
        <v>2341.75</v>
      </c>
      <c r="D67" s="97">
        <f>' Račun prihoda i rashoda-ekonom'!E74</f>
        <v>0</v>
      </c>
      <c r="E67" s="97">
        <f>' Račun prihoda i rashoda-ekonom'!F74</f>
        <v>0</v>
      </c>
      <c r="F67" s="97">
        <f>' Račun prihoda i rashoda-ekonom'!G74</f>
        <v>0</v>
      </c>
      <c r="G67" s="97">
        <f>' Račun prihoda i rashoda-ekonom'!H74</f>
        <v>0</v>
      </c>
    </row>
    <row r="68" spans="1:7" x14ac:dyDescent="0.25">
      <c r="A68" s="121">
        <v>426</v>
      </c>
      <c r="B68" s="104" t="s">
        <v>95</v>
      </c>
      <c r="C68" s="97">
        <f>C69</f>
        <v>0</v>
      </c>
      <c r="D68" s="97">
        <f t="shared" ref="D68:G68" si="39">D69</f>
        <v>0</v>
      </c>
      <c r="E68" s="97">
        <f t="shared" si="39"/>
        <v>0</v>
      </c>
      <c r="F68" s="97">
        <f t="shared" si="39"/>
        <v>0</v>
      </c>
      <c r="G68" s="97">
        <f t="shared" si="39"/>
        <v>0</v>
      </c>
    </row>
    <row r="69" spans="1:7" x14ac:dyDescent="0.25">
      <c r="A69" s="121">
        <v>4262</v>
      </c>
      <c r="B69" s="105" t="s">
        <v>96</v>
      </c>
      <c r="C69" s="97">
        <v>0</v>
      </c>
      <c r="D69" s="97">
        <f>' Račun prihoda i rashoda-ekonom'!E76</f>
        <v>0</v>
      </c>
      <c r="E69" s="97">
        <f>' Račun prihoda i rashoda-ekonom'!F76</f>
        <v>0</v>
      </c>
      <c r="F69" s="97">
        <f>' Račun prihoda i rashoda-ekonom'!G76</f>
        <v>0</v>
      </c>
      <c r="G69" s="97">
        <f>' Račun prihoda i rashoda-ekonom'!H76</f>
        <v>0</v>
      </c>
    </row>
    <row r="70" spans="1:7" x14ac:dyDescent="0.25">
      <c r="C70" s="115"/>
      <c r="D70" s="115"/>
      <c r="E70" s="115"/>
      <c r="F70" s="115"/>
      <c r="G70" s="115"/>
    </row>
    <row r="71" spans="1:7" x14ac:dyDescent="0.25">
      <c r="C71" s="115"/>
      <c r="D71" s="115"/>
      <c r="E71" s="115"/>
      <c r="F71" s="115"/>
      <c r="G71" s="115"/>
    </row>
    <row r="72" spans="1:7" x14ac:dyDescent="0.25">
      <c r="C72" s="115"/>
      <c r="D72" s="115"/>
      <c r="E72" s="115"/>
      <c r="F72" s="115"/>
      <c r="G72" s="115"/>
    </row>
    <row r="73" spans="1:7" x14ac:dyDescent="0.25">
      <c r="C73" s="115"/>
      <c r="D73" s="115"/>
      <c r="E73" s="115"/>
      <c r="F73" s="115"/>
      <c r="G73" s="115"/>
    </row>
    <row r="74" spans="1:7" x14ac:dyDescent="0.25">
      <c r="C74" s="115"/>
      <c r="D74" s="115"/>
      <c r="E74" s="115"/>
      <c r="F74" s="115"/>
      <c r="G74" s="115"/>
    </row>
    <row r="75" spans="1:7" x14ac:dyDescent="0.25">
      <c r="C75" s="115"/>
      <c r="D75" s="115"/>
      <c r="E75" s="115"/>
      <c r="F75" s="115"/>
      <c r="G75" s="115"/>
    </row>
    <row r="76" spans="1:7" x14ac:dyDescent="0.25">
      <c r="C76" s="115"/>
      <c r="D76" s="115"/>
      <c r="E76" s="115"/>
      <c r="F76" s="115"/>
      <c r="G76" s="115"/>
    </row>
    <row r="77" spans="1:7" x14ac:dyDescent="0.25">
      <c r="C77" s="115"/>
      <c r="D77" s="115"/>
      <c r="E77" s="115"/>
      <c r="F77" s="115"/>
      <c r="G77" s="115"/>
    </row>
    <row r="78" spans="1:7" x14ac:dyDescent="0.25">
      <c r="C78" s="115"/>
      <c r="D78" s="115"/>
      <c r="E78" s="115"/>
      <c r="F78" s="115"/>
      <c r="G78" s="115"/>
    </row>
  </sheetData>
  <mergeCells count="2">
    <mergeCell ref="A4:B4"/>
    <mergeCell ref="A2:G2"/>
  </mergeCells>
  <phoneticPr fontId="26" type="noConversion"/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Sažetak</vt:lpstr>
      <vt:lpstr> Račun prihoda i rashoda-ekonom</vt:lpstr>
      <vt:lpstr> Račun prihoda i rashoda-izvori</vt:lpstr>
      <vt:lpstr> Račun rashoda-funkcija</vt:lpstr>
      <vt:lpstr> Račun financiranja-ekonomska</vt:lpstr>
      <vt:lpstr> Račun financiranja-izvori</vt:lpstr>
      <vt:lpstr>Posebni dio</vt:lpstr>
      <vt:lpstr>' Račun financiranja-ekonomska'!Print_Area</vt:lpstr>
      <vt:lpstr>' Račun financiranja-izvori'!Print_Area</vt:lpstr>
      <vt:lpstr>' Račun prihoda i rashoda-ekonom'!Print_Area</vt:lpstr>
      <vt:lpstr>' Račun prihoda i rashoda-izvori'!Print_Area</vt:lpstr>
      <vt:lpstr>' Račun rashoda-funkcija'!Print_Area</vt:lpstr>
      <vt:lpstr>'Posebni dio'!Print_Area</vt:lpstr>
      <vt:lpstr>Sažetak!Print_Area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Zoran Jakić</cp:lastModifiedBy>
  <cp:lastPrinted>2024-11-07T10:50:01Z</cp:lastPrinted>
  <dcterms:created xsi:type="dcterms:W3CDTF">2022-08-12T12:51:27Z</dcterms:created>
  <dcterms:modified xsi:type="dcterms:W3CDTF">2024-11-07T14:04:27Z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14. Format izgleda financijskog plana proračunskog korisnika.xlsx</vt:lpwstr>
  </property>
</Properties>
</file>